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D:\_analise de projeto\aprovados\erlda\sit sam26 prio42 - pav lajotas\doc edital\"/>
    </mc:Choice>
  </mc:AlternateContent>
  <xr:revisionPtr revIDLastSave="0" documentId="13_ncr:1_{3E5EACB3-E94A-40E5-A96F-82B15466B888}" xr6:coauthVersionLast="47" xr6:coauthVersionMax="47" xr10:uidLastSave="{00000000-0000-0000-0000-000000000000}"/>
  <bookViews>
    <workbookView xWindow="-120" yWindow="-120" windowWidth="29040" windowHeight="15840" tabRatio="844" firstSheet="4" activeTab="4" xr2:uid="{00000000-000D-0000-FFFF-FFFF00000000}"/>
  </bookViews>
  <sheets>
    <sheet name="LIGANTES" sheetId="15" state="hidden" r:id="rId1"/>
    <sheet name="base" sheetId="17" state="hidden" r:id="rId2"/>
    <sheet name="base (2)" sheetId="18" state="hidden" r:id="rId3"/>
    <sheet name="ENSAIOS DE ORÇAMENTO" sheetId="2" state="hidden" r:id="rId4"/>
    <sheet name="planilha de serviços" sheetId="21" r:id="rId5"/>
    <sheet name="Novos Traços" sheetId="13" state="hidden" r:id="rId6"/>
  </sheets>
  <externalReferences>
    <externalReference r:id="rId7"/>
  </externalReferences>
  <definedNames>
    <definedName name="_xlnm._FilterDatabase" localSheetId="4" hidden="1">'planilha de serviços'!$A$6:$P$36</definedName>
    <definedName name="_xlnm.Print_Area" localSheetId="1">base!$B$1:$P$13</definedName>
    <definedName name="_xlnm.Print_Area" localSheetId="2">'base (2)'!$B$1:$P$13</definedName>
    <definedName name="_xlnm.Print_Area" localSheetId="3">'ENSAIOS DE ORÇAMENTO'!#REF!</definedName>
    <definedName name="_xlnm.Print_Area" localSheetId="4">'planilha de serviços'!$A$1:$H$37</definedName>
    <definedName name="d" localSheetId="4">[1]proposta!#REF!</definedName>
    <definedName name="d">[1]proposta!#REF!</definedName>
    <definedName name="j" localSheetId="4">'planilha de serviços'!#REF!</definedName>
    <definedName name="j">#REF!</definedName>
    <definedName name="_xlnm.Print_Titles" localSheetId="3">'ENSAIOS DE ORÇAMENTO'!#REF!</definedName>
    <definedName name="_xlnm.Print_Titles" localSheetId="4">'planilha de serviços'!$5:$6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15" l="1"/>
  <c r="P33" i="15" s="1"/>
  <c r="M33" i="15"/>
  <c r="L33" i="15"/>
  <c r="K33" i="15"/>
  <c r="I33" i="15"/>
  <c r="O32" i="15"/>
  <c r="P32" i="15" s="1"/>
  <c r="M32" i="15"/>
  <c r="L32" i="15"/>
  <c r="K32" i="15"/>
  <c r="I32" i="15"/>
  <c r="P31" i="15"/>
  <c r="O31" i="15"/>
  <c r="K31" i="15"/>
  <c r="M30" i="15"/>
  <c r="L30" i="15"/>
  <c r="K30" i="15"/>
  <c r="I30" i="15"/>
  <c r="O30" i="15" s="1"/>
  <c r="P30" i="15" s="1"/>
  <c r="M29" i="15"/>
  <c r="L29" i="15"/>
  <c r="O29" i="15" s="1"/>
  <c r="P29" i="15" s="1"/>
  <c r="K29" i="15"/>
  <c r="M28" i="15"/>
  <c r="L28" i="15"/>
  <c r="K28" i="15"/>
  <c r="I28" i="15"/>
  <c r="O28" i="15" s="1"/>
  <c r="P28" i="15" s="1"/>
  <c r="O27" i="15"/>
  <c r="P27" i="15" s="1"/>
  <c r="M27" i="15"/>
  <c r="L27" i="15"/>
  <c r="K27" i="15"/>
  <c r="I27" i="15"/>
  <c r="P26" i="15"/>
  <c r="P25" i="15"/>
  <c r="K25" i="15"/>
  <c r="O24" i="15"/>
  <c r="P24" i="15" s="1"/>
  <c r="M24" i="15"/>
  <c r="L24" i="15"/>
  <c r="K24" i="15"/>
  <c r="I24" i="15"/>
  <c r="M23" i="15"/>
  <c r="L23" i="15"/>
  <c r="K23" i="15"/>
  <c r="O23" i="15" s="1"/>
  <c r="P23" i="15" s="1"/>
  <c r="I23" i="15"/>
  <c r="P22" i="15"/>
  <c r="P21" i="15"/>
  <c r="P20" i="15"/>
  <c r="M19" i="15"/>
  <c r="O19" i="15" s="1"/>
  <c r="P19" i="15" s="1"/>
  <c r="L19" i="15"/>
  <c r="K19" i="15"/>
  <c r="M18" i="15"/>
  <c r="L18" i="15"/>
  <c r="K18" i="15"/>
  <c r="I18" i="15"/>
  <c r="O18" i="15" s="1"/>
  <c r="P18" i="15" s="1"/>
  <c r="M17" i="15"/>
  <c r="L17" i="15"/>
  <c r="K17" i="15"/>
  <c r="O17" i="15" s="1"/>
  <c r="P17" i="15" s="1"/>
  <c r="O16" i="15"/>
  <c r="P16" i="15" s="1"/>
  <c r="L16" i="15"/>
  <c r="K16" i="15"/>
  <c r="I16" i="15"/>
  <c r="G16" i="15"/>
  <c r="M15" i="15"/>
  <c r="L15" i="15"/>
  <c r="K15" i="15"/>
  <c r="O15" i="15" s="1"/>
  <c r="P15" i="15" s="1"/>
  <c r="M14" i="15"/>
  <c r="L14" i="15"/>
  <c r="K14" i="15"/>
  <c r="O14" i="15" s="1"/>
  <c r="P14" i="15" s="1"/>
  <c r="I14" i="15"/>
  <c r="P13" i="15"/>
  <c r="O13" i="15"/>
  <c r="K13" i="15"/>
  <c r="M12" i="15"/>
  <c r="L12" i="15"/>
  <c r="K12" i="15"/>
  <c r="I12" i="15"/>
  <c r="O12" i="15" s="1"/>
  <c r="P12" i="15" s="1"/>
  <c r="G12" i="15"/>
  <c r="S129" i="18" l="1"/>
  <c r="A129" i="18"/>
  <c r="S128" i="18"/>
  <c r="A128" i="18"/>
  <c r="S127" i="18"/>
  <c r="A127" i="18"/>
  <c r="S126" i="18"/>
  <c r="A126" i="18"/>
  <c r="S125" i="18"/>
  <c r="A125" i="18"/>
  <c r="S124" i="18"/>
  <c r="A124" i="18"/>
  <c r="S123" i="18"/>
  <c r="A123" i="18"/>
  <c r="S122" i="18"/>
  <c r="A122" i="18"/>
  <c r="S121" i="18"/>
  <c r="A121" i="18"/>
  <c r="S120" i="18"/>
  <c r="A120" i="18"/>
  <c r="S119" i="18"/>
  <c r="A119" i="18"/>
  <c r="S116" i="18"/>
  <c r="A116" i="18"/>
  <c r="S115" i="18"/>
  <c r="A115" i="18"/>
  <c r="S114" i="18"/>
  <c r="A114" i="18"/>
  <c r="S113" i="18"/>
  <c r="A113" i="18"/>
  <c r="S112" i="18"/>
  <c r="A112" i="18"/>
  <c r="S111" i="18"/>
  <c r="A111" i="18"/>
  <c r="S110" i="18"/>
  <c r="A110" i="18"/>
  <c r="S109" i="18"/>
  <c r="A109" i="18"/>
  <c r="S108" i="18"/>
  <c r="A108" i="18"/>
  <c r="S107" i="18"/>
  <c r="A107" i="18"/>
  <c r="S106" i="18"/>
  <c r="A106" i="18"/>
  <c r="S103" i="18"/>
  <c r="A103" i="18"/>
  <c r="S102" i="18"/>
  <c r="A102" i="18"/>
  <c r="S101" i="18"/>
  <c r="A101" i="18"/>
  <c r="S100" i="18"/>
  <c r="A100" i="18"/>
  <c r="S99" i="18"/>
  <c r="A99" i="18"/>
  <c r="S98" i="18"/>
  <c r="A98" i="18"/>
  <c r="S97" i="18"/>
  <c r="A97" i="18"/>
  <c r="S96" i="18"/>
  <c r="A96" i="18"/>
  <c r="S95" i="18"/>
  <c r="A95" i="18"/>
  <c r="S94" i="18"/>
  <c r="A94" i="18"/>
  <c r="S93" i="18"/>
  <c r="A93" i="18"/>
  <c r="S90" i="18"/>
  <c r="A90" i="18"/>
  <c r="S89" i="18"/>
  <c r="A89" i="18"/>
  <c r="S88" i="18"/>
  <c r="A88" i="18"/>
  <c r="S87" i="18"/>
  <c r="A87" i="18"/>
  <c r="S86" i="18"/>
  <c r="A86" i="18"/>
  <c r="S85" i="18"/>
  <c r="A85" i="18"/>
  <c r="S84" i="18"/>
  <c r="A84" i="18"/>
  <c r="S83" i="18"/>
  <c r="A83" i="18"/>
  <c r="S82" i="18"/>
  <c r="A82" i="18"/>
  <c r="S81" i="18"/>
  <c r="A81" i="18"/>
  <c r="S80" i="18"/>
  <c r="A80" i="18"/>
  <c r="S77" i="18"/>
  <c r="A77" i="18"/>
  <c r="S76" i="18"/>
  <c r="A76" i="18"/>
  <c r="S75" i="18"/>
  <c r="A75" i="18"/>
  <c r="S74" i="18"/>
  <c r="A74" i="18"/>
  <c r="S73" i="18"/>
  <c r="A73" i="18"/>
  <c r="S72" i="18"/>
  <c r="A72" i="18"/>
  <c r="S71" i="18"/>
  <c r="A71" i="18"/>
  <c r="S70" i="18"/>
  <c r="A70" i="18"/>
  <c r="S69" i="18"/>
  <c r="A69" i="18"/>
  <c r="S68" i="18"/>
  <c r="A68" i="18"/>
  <c r="S67" i="18"/>
  <c r="A67" i="18"/>
  <c r="S64" i="18"/>
  <c r="A64" i="18"/>
  <c r="S63" i="18"/>
  <c r="A63" i="18"/>
  <c r="S62" i="18"/>
  <c r="A62" i="18"/>
  <c r="S61" i="18"/>
  <c r="A61" i="18"/>
  <c r="S60" i="18"/>
  <c r="A60" i="18"/>
  <c r="S59" i="18"/>
  <c r="A59" i="18"/>
  <c r="S58" i="18"/>
  <c r="A58" i="18"/>
  <c r="S57" i="18"/>
  <c r="A57" i="18"/>
  <c r="S56" i="18"/>
  <c r="A56" i="18"/>
  <c r="S55" i="18"/>
  <c r="A55" i="18"/>
  <c r="S54" i="18"/>
  <c r="A54" i="18"/>
  <c r="S51" i="18"/>
  <c r="A51" i="18"/>
  <c r="S50" i="18"/>
  <c r="A50" i="18"/>
  <c r="S49" i="18"/>
  <c r="A49" i="18"/>
  <c r="S48" i="18"/>
  <c r="A48" i="18"/>
  <c r="S47" i="18"/>
  <c r="A47" i="18"/>
  <c r="S46" i="18"/>
  <c r="A46" i="18"/>
  <c r="S45" i="18"/>
  <c r="A45" i="18"/>
  <c r="S44" i="18"/>
  <c r="A44" i="18"/>
  <c r="S43" i="18"/>
  <c r="A43" i="18"/>
  <c r="S42" i="18"/>
  <c r="A42" i="18"/>
  <c r="S41" i="18"/>
  <c r="A41" i="18"/>
  <c r="S38" i="18"/>
  <c r="A38" i="18"/>
  <c r="S37" i="18"/>
  <c r="A37" i="18"/>
  <c r="S36" i="18"/>
  <c r="A36" i="18"/>
  <c r="S35" i="18"/>
  <c r="A35" i="18"/>
  <c r="S34" i="18"/>
  <c r="A34" i="18"/>
  <c r="S33" i="18"/>
  <c r="A33" i="18"/>
  <c r="S32" i="18"/>
  <c r="A32" i="18"/>
  <c r="S31" i="18"/>
  <c r="A31" i="18"/>
  <c r="S30" i="18"/>
  <c r="A30" i="18"/>
  <c r="S29" i="18"/>
  <c r="A29" i="18"/>
  <c r="S28" i="18"/>
  <c r="A28" i="18"/>
  <c r="S25" i="18"/>
  <c r="A25" i="18"/>
  <c r="S24" i="18"/>
  <c r="A24" i="18"/>
  <c r="S23" i="18"/>
  <c r="A23" i="18"/>
  <c r="S22" i="18"/>
  <c r="A22" i="18"/>
  <c r="S21" i="18"/>
  <c r="A21" i="18"/>
  <c r="S20" i="18"/>
  <c r="A20" i="18"/>
  <c r="S19" i="18"/>
  <c r="A19" i="18"/>
  <c r="S18" i="18"/>
  <c r="A18" i="18"/>
  <c r="S17" i="18"/>
  <c r="A17" i="18"/>
  <c r="S16" i="18"/>
  <c r="A16" i="18"/>
  <c r="S15" i="18"/>
  <c r="A15" i="18"/>
  <c r="S12" i="18"/>
  <c r="A12" i="18"/>
  <c r="S11" i="18"/>
  <c r="A11" i="18"/>
  <c r="S10" i="18"/>
  <c r="A10" i="18"/>
  <c r="S9" i="18"/>
  <c r="A9" i="18"/>
  <c r="S8" i="18"/>
  <c r="A8" i="18"/>
  <c r="S7" i="18"/>
  <c r="A7" i="18"/>
  <c r="S6" i="18"/>
  <c r="A6" i="18"/>
  <c r="S5" i="18"/>
  <c r="A5" i="18"/>
  <c r="S4" i="18"/>
  <c r="A4" i="18"/>
  <c r="S3" i="18"/>
  <c r="S131" i="18" s="1"/>
  <c r="A3" i="18"/>
  <c r="S2" i="18"/>
  <c r="A2" i="18"/>
  <c r="S129" i="17"/>
  <c r="A129" i="17"/>
  <c r="S128" i="17"/>
  <c r="A128" i="17"/>
  <c r="S127" i="17"/>
  <c r="A127" i="17"/>
  <c r="S126" i="17"/>
  <c r="A126" i="17"/>
  <c r="S125" i="17"/>
  <c r="A125" i="17"/>
  <c r="S124" i="17"/>
  <c r="A124" i="17"/>
  <c r="S123" i="17"/>
  <c r="A123" i="17"/>
  <c r="S122" i="17"/>
  <c r="A122" i="17"/>
  <c r="S121" i="17"/>
  <c r="A121" i="17"/>
  <c r="S120" i="17"/>
  <c r="A120" i="17"/>
  <c r="S119" i="17"/>
  <c r="A119" i="17"/>
  <c r="S116" i="17"/>
  <c r="A116" i="17"/>
  <c r="S115" i="17"/>
  <c r="A115" i="17"/>
  <c r="S114" i="17"/>
  <c r="A114" i="17"/>
  <c r="S113" i="17"/>
  <c r="A113" i="17"/>
  <c r="S112" i="17"/>
  <c r="A112" i="17"/>
  <c r="S111" i="17"/>
  <c r="A111" i="17"/>
  <c r="S110" i="17"/>
  <c r="A110" i="17"/>
  <c r="S109" i="17"/>
  <c r="A109" i="17"/>
  <c r="S108" i="17"/>
  <c r="A108" i="17"/>
  <c r="S107" i="17"/>
  <c r="A107" i="17"/>
  <c r="S106" i="17"/>
  <c r="A106" i="17"/>
  <c r="S103" i="17"/>
  <c r="A103" i="17"/>
  <c r="S102" i="17"/>
  <c r="A102" i="17"/>
  <c r="S101" i="17"/>
  <c r="A101" i="17"/>
  <c r="S100" i="17"/>
  <c r="A100" i="17"/>
  <c r="S99" i="17"/>
  <c r="A99" i="17"/>
  <c r="S98" i="17"/>
  <c r="A98" i="17"/>
  <c r="S97" i="17"/>
  <c r="A97" i="17"/>
  <c r="S96" i="17"/>
  <c r="A96" i="17"/>
  <c r="S95" i="17"/>
  <c r="A95" i="17"/>
  <c r="S94" i="17"/>
  <c r="A94" i="17"/>
  <c r="S93" i="17"/>
  <c r="A93" i="17"/>
  <c r="S90" i="17"/>
  <c r="A90" i="17"/>
  <c r="S89" i="17"/>
  <c r="A89" i="17"/>
  <c r="S88" i="17"/>
  <c r="A88" i="17"/>
  <c r="S87" i="17"/>
  <c r="A87" i="17"/>
  <c r="S86" i="17"/>
  <c r="A86" i="17"/>
  <c r="S85" i="17"/>
  <c r="A85" i="17"/>
  <c r="S84" i="17"/>
  <c r="A84" i="17"/>
  <c r="S83" i="17"/>
  <c r="A83" i="17"/>
  <c r="S82" i="17"/>
  <c r="A82" i="17"/>
  <c r="S81" i="17"/>
  <c r="A81" i="17"/>
  <c r="S80" i="17"/>
  <c r="A80" i="17"/>
  <c r="S77" i="17"/>
  <c r="A77" i="17"/>
  <c r="S76" i="17"/>
  <c r="A76" i="17"/>
  <c r="S75" i="17"/>
  <c r="A75" i="17"/>
  <c r="S74" i="17"/>
  <c r="A74" i="17"/>
  <c r="S73" i="17"/>
  <c r="A73" i="17"/>
  <c r="S72" i="17"/>
  <c r="A72" i="17"/>
  <c r="S71" i="17"/>
  <c r="A71" i="17"/>
  <c r="S70" i="17"/>
  <c r="A70" i="17"/>
  <c r="S69" i="17"/>
  <c r="A69" i="17"/>
  <c r="S68" i="17"/>
  <c r="A68" i="17"/>
  <c r="S67" i="17"/>
  <c r="A67" i="17"/>
  <c r="S64" i="17"/>
  <c r="A64" i="17"/>
  <c r="S63" i="17"/>
  <c r="A63" i="17"/>
  <c r="S62" i="17"/>
  <c r="A62" i="17"/>
  <c r="S61" i="17"/>
  <c r="A61" i="17"/>
  <c r="S60" i="17"/>
  <c r="A60" i="17"/>
  <c r="S59" i="17"/>
  <c r="A59" i="17"/>
  <c r="S58" i="17"/>
  <c r="A58" i="17"/>
  <c r="S57" i="17"/>
  <c r="A57" i="17"/>
  <c r="S56" i="17"/>
  <c r="A56" i="17"/>
  <c r="S55" i="17"/>
  <c r="A55" i="17"/>
  <c r="S54" i="17"/>
  <c r="A54" i="17"/>
  <c r="S51" i="17"/>
  <c r="A51" i="17"/>
  <c r="S50" i="17"/>
  <c r="A50" i="17"/>
  <c r="S49" i="17"/>
  <c r="A49" i="17"/>
  <c r="S48" i="17"/>
  <c r="A48" i="17"/>
  <c r="S47" i="17"/>
  <c r="A47" i="17"/>
  <c r="S46" i="17"/>
  <c r="A46" i="17"/>
  <c r="S45" i="17"/>
  <c r="A45" i="17"/>
  <c r="S44" i="17"/>
  <c r="A44" i="17"/>
  <c r="S43" i="17"/>
  <c r="A43" i="17"/>
  <c r="S42" i="17"/>
  <c r="A42" i="17"/>
  <c r="S41" i="17"/>
  <c r="A41" i="17"/>
  <c r="S38" i="17"/>
  <c r="A38" i="17"/>
  <c r="S37" i="17"/>
  <c r="A37" i="17"/>
  <c r="S36" i="17"/>
  <c r="A36" i="17"/>
  <c r="S35" i="17"/>
  <c r="A35" i="17"/>
  <c r="S34" i="17"/>
  <c r="A34" i="17"/>
  <c r="S33" i="17"/>
  <c r="A33" i="17"/>
  <c r="S32" i="17"/>
  <c r="A32" i="17"/>
  <c r="S31" i="17"/>
  <c r="A31" i="17"/>
  <c r="S30" i="17"/>
  <c r="A30" i="17"/>
  <c r="S29" i="17"/>
  <c r="A29" i="17"/>
  <c r="S28" i="17"/>
  <c r="A28" i="17"/>
  <c r="S25" i="17"/>
  <c r="A25" i="17"/>
  <c r="S24" i="17"/>
  <c r="A24" i="17"/>
  <c r="S23" i="17"/>
  <c r="A23" i="17"/>
  <c r="S22" i="17"/>
  <c r="A22" i="17"/>
  <c r="S21" i="17"/>
  <c r="A21" i="17"/>
  <c r="S20" i="17"/>
  <c r="A20" i="17"/>
  <c r="S19" i="17"/>
  <c r="A19" i="17"/>
  <c r="S18" i="17"/>
  <c r="A18" i="17"/>
  <c r="S17" i="17"/>
  <c r="A17" i="17"/>
  <c r="S16" i="17"/>
  <c r="A16" i="17"/>
  <c r="S15" i="17"/>
  <c r="A15" i="17"/>
  <c r="S12" i="17"/>
  <c r="A12" i="17"/>
  <c r="S11" i="17"/>
  <c r="A11" i="17"/>
  <c r="S10" i="17"/>
  <c r="A10" i="17"/>
  <c r="S9" i="17"/>
  <c r="A9" i="17"/>
  <c r="S8" i="17"/>
  <c r="A8" i="17"/>
  <c r="S7" i="17"/>
  <c r="A7" i="17"/>
  <c r="S6" i="17"/>
  <c r="A6" i="17"/>
  <c r="S5" i="17"/>
  <c r="A5" i="17"/>
  <c r="S4" i="17"/>
  <c r="A4" i="17"/>
  <c r="S3" i="17"/>
  <c r="A3" i="17"/>
  <c r="S2" i="17"/>
  <c r="S131" i="17" s="1"/>
  <c r="A2" i="17"/>
  <c r="J4" i="2" l="1"/>
  <c r="J5" i="2"/>
  <c r="J6" i="2"/>
  <c r="J7" i="2"/>
  <c r="J8" i="2"/>
  <c r="J9" i="2"/>
  <c r="J10" i="2"/>
  <c r="J11" i="2"/>
  <c r="J12" i="2"/>
  <c r="J13" i="2"/>
  <c r="J14" i="2"/>
  <c r="J15" i="2"/>
  <c r="J16" i="2" l="1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3" i="2"/>
  <c r="L7" i="2"/>
  <c r="L3" i="2"/>
  <c r="H64" i="2" l="1"/>
  <c r="H65" i="2"/>
  <c r="H66" i="2"/>
  <c r="H67" i="2"/>
  <c r="H68" i="2"/>
  <c r="H69" i="2"/>
  <c r="H61" i="2"/>
  <c r="H62" i="2"/>
  <c r="H63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4" i="2"/>
  <c r="H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6" i="2"/>
  <c r="L5" i="2"/>
  <c r="L4" i="2"/>
  <c r="H82" i="2"/>
  <c r="G82" i="2"/>
  <c r="E82" i="2"/>
  <c r="H81" i="2"/>
  <c r="G81" i="2"/>
  <c r="E81" i="2"/>
  <c r="H80" i="2"/>
  <c r="G80" i="2"/>
  <c r="E80" i="2"/>
  <c r="H79" i="2"/>
  <c r="G79" i="2"/>
  <c r="E79" i="2"/>
  <c r="H78" i="2"/>
  <c r="G78" i="2"/>
  <c r="E78" i="2"/>
  <c r="H77" i="2"/>
  <c r="G77" i="2"/>
  <c r="E77" i="2"/>
  <c r="H76" i="2"/>
  <c r="G76" i="2"/>
  <c r="E76" i="2"/>
  <c r="H75" i="2"/>
  <c r="G75" i="2"/>
  <c r="E75" i="2"/>
  <c r="H74" i="2"/>
  <c r="G74" i="2"/>
  <c r="E74" i="2"/>
  <c r="H73" i="2"/>
  <c r="G73" i="2"/>
  <c r="E73" i="2"/>
  <c r="H72" i="2"/>
  <c r="G72" i="2"/>
  <c r="E72" i="2"/>
  <c r="H71" i="2"/>
  <c r="G71" i="2"/>
  <c r="E71" i="2"/>
  <c r="H70" i="2"/>
  <c r="G70" i="2"/>
  <c r="E70" i="2"/>
  <c r="G69" i="2"/>
  <c r="E69" i="2"/>
  <c r="G68" i="2"/>
  <c r="E68" i="2"/>
  <c r="G67" i="2"/>
  <c r="E67" i="2"/>
  <c r="G66" i="2"/>
  <c r="E66" i="2"/>
  <c r="G65" i="2"/>
  <c r="E65" i="2"/>
  <c r="G64" i="2"/>
  <c r="E64" i="2"/>
  <c r="G63" i="2"/>
  <c r="E63" i="2"/>
  <c r="G62" i="2"/>
  <c r="E62" i="2"/>
  <c r="G61" i="2"/>
  <c r="E61" i="2"/>
  <c r="G60" i="2"/>
  <c r="E60" i="2"/>
  <c r="G59" i="2"/>
  <c r="E59" i="2"/>
  <c r="G58" i="2"/>
  <c r="E58" i="2"/>
  <c r="G57" i="2"/>
  <c r="E57" i="2"/>
  <c r="G56" i="2"/>
  <c r="E56" i="2"/>
  <c r="G55" i="2"/>
  <c r="E55" i="2"/>
  <c r="G54" i="2"/>
  <c r="E54" i="2"/>
  <c r="G53" i="2"/>
  <c r="E53" i="2"/>
  <c r="G52" i="2"/>
  <c r="E52" i="2"/>
  <c r="G51" i="2"/>
  <c r="E51" i="2"/>
  <c r="G50" i="2"/>
  <c r="E50" i="2"/>
  <c r="G49" i="2"/>
  <c r="E49" i="2"/>
  <c r="G48" i="2"/>
  <c r="E48" i="2"/>
  <c r="G47" i="2"/>
  <c r="E47" i="2"/>
  <c r="G46" i="2"/>
  <c r="E46" i="2"/>
  <c r="G45" i="2"/>
  <c r="E45" i="2"/>
  <c r="G44" i="2"/>
  <c r="E44" i="2"/>
  <c r="G43" i="2"/>
  <c r="E43" i="2"/>
  <c r="G42" i="2"/>
  <c r="E42" i="2"/>
  <c r="G41" i="2"/>
  <c r="E41" i="2"/>
  <c r="G40" i="2"/>
  <c r="E40" i="2"/>
  <c r="G39" i="2"/>
  <c r="E39" i="2"/>
  <c r="G38" i="2"/>
  <c r="E38" i="2"/>
  <c r="G37" i="2"/>
  <c r="E37" i="2"/>
  <c r="G36" i="2"/>
  <c r="E36" i="2"/>
  <c r="G35" i="2"/>
  <c r="E35" i="2"/>
  <c r="G34" i="2"/>
  <c r="E34" i="2"/>
  <c r="G33" i="2"/>
  <c r="E33" i="2"/>
  <c r="G32" i="2"/>
  <c r="E32" i="2"/>
  <c r="G31" i="2"/>
  <c r="E31" i="2"/>
  <c r="G30" i="2"/>
  <c r="E30" i="2"/>
  <c r="G29" i="2"/>
  <c r="E29" i="2"/>
  <c r="G28" i="2"/>
  <c r="E28" i="2"/>
  <c r="G27" i="2"/>
  <c r="E27" i="2"/>
  <c r="G26" i="2"/>
  <c r="E26" i="2"/>
  <c r="G25" i="2"/>
  <c r="E25" i="2"/>
  <c r="G24" i="2"/>
  <c r="E24" i="2"/>
  <c r="G23" i="2"/>
  <c r="E23" i="2"/>
  <c r="G22" i="2"/>
  <c r="E22" i="2"/>
  <c r="G21" i="2"/>
  <c r="E21" i="2"/>
  <c r="G20" i="2"/>
  <c r="E20" i="2"/>
  <c r="G19" i="2"/>
  <c r="E19" i="2"/>
  <c r="G18" i="2"/>
  <c r="E18" i="2"/>
  <c r="G17" i="2"/>
  <c r="E17" i="2"/>
  <c r="G16" i="2"/>
  <c r="E16" i="2"/>
  <c r="G15" i="2"/>
  <c r="E15" i="2"/>
  <c r="G14" i="2"/>
  <c r="E14" i="2"/>
  <c r="G13" i="2"/>
  <c r="E13" i="2"/>
  <c r="G12" i="2"/>
  <c r="E12" i="2"/>
  <c r="G11" i="2"/>
  <c r="E11" i="2"/>
  <c r="G10" i="2"/>
  <c r="E10" i="2"/>
  <c r="G9" i="2"/>
  <c r="E9" i="2"/>
  <c r="G8" i="2"/>
  <c r="E8" i="2"/>
  <c r="G7" i="2"/>
  <c r="E7" i="2"/>
  <c r="G6" i="2"/>
  <c r="E6" i="2"/>
  <c r="G5" i="2"/>
  <c r="E5" i="2"/>
  <c r="G4" i="2"/>
  <c r="E4" i="2"/>
  <c r="E3" i="2"/>
  <c r="G3" i="2"/>
  <c r="M70" i="13" l="1"/>
  <c r="F70" i="13"/>
  <c r="K69" i="13"/>
  <c r="D69" i="13"/>
  <c r="J68" i="13"/>
  <c r="F68" i="13"/>
  <c r="C68" i="13"/>
  <c r="C58" i="13"/>
  <c r="M57" i="13"/>
  <c r="M58" i="13" s="1"/>
  <c r="J57" i="13"/>
  <c r="J58" i="13" s="1"/>
  <c r="C57" i="13"/>
  <c r="M56" i="13"/>
  <c r="M69" i="13" s="1"/>
  <c r="F56" i="13"/>
  <c r="F69" i="13" s="1"/>
  <c r="M55" i="13"/>
  <c r="M68" i="13" s="1"/>
  <c r="F55" i="13"/>
  <c r="M53" i="13"/>
  <c r="M66" i="13" s="1"/>
  <c r="F53" i="13"/>
  <c r="F57" i="13" s="1"/>
  <c r="F58" i="13" s="1"/>
  <c r="F32" i="13"/>
  <c r="M71" i="13" l="1"/>
  <c r="M72" i="13" s="1"/>
  <c r="F66" i="13"/>
  <c r="F71" i="13" s="1"/>
  <c r="F72" i="13" s="1"/>
  <c r="M34" i="13" l="1"/>
  <c r="K33" i="13"/>
  <c r="J32" i="13"/>
  <c r="J21" i="13"/>
  <c r="J22" i="13" s="1"/>
  <c r="M20" i="13"/>
  <c r="M19" i="13"/>
  <c r="M17" i="13"/>
  <c r="F34" i="13"/>
  <c r="C32" i="13"/>
  <c r="F20" i="13"/>
  <c r="F19" i="13"/>
  <c r="F17" i="13"/>
  <c r="F21" i="13"/>
  <c r="F22" i="13" s="1"/>
  <c r="M33" i="13" l="1"/>
  <c r="M32" i="13"/>
  <c r="M30" i="13"/>
  <c r="M35" i="13" s="1"/>
  <c r="M36" i="13" s="1"/>
  <c r="M21" i="13"/>
  <c r="M22" i="13" s="1"/>
  <c r="F33" i="13"/>
  <c r="F30" i="13"/>
  <c r="F35" i="13" s="1"/>
  <c r="F36" i="13" s="1"/>
  <c r="Z26" i="13"/>
  <c r="AA26" i="13" s="1"/>
  <c r="Z21" i="13"/>
  <c r="C21" i="13"/>
  <c r="C22" i="13" s="1"/>
  <c r="Z22" i="13" l="1"/>
  <c r="Z23" i="13"/>
  <c r="Z24" i="13"/>
  <c r="AA24" i="13" s="1"/>
  <c r="Z25" i="13"/>
  <c r="AA25" i="13" s="1"/>
  <c r="D33" i="13"/>
  <c r="AA22" i="13" l="1"/>
  <c r="AA27" i="13" s="1"/>
  <c r="AA28" i="13" s="1"/>
  <c r="Z27" i="13"/>
  <c r="Z28" i="13" s="1"/>
  <c r="W60" i="2" l="1"/>
  <c r="W59" i="2"/>
  <c r="W58" i="2"/>
  <c r="W57" i="2"/>
  <c r="W56" i="2"/>
  <c r="W55" i="2"/>
  <c r="W54" i="2"/>
  <c r="W40" i="2"/>
  <c r="W41" i="2"/>
  <c r="W42" i="2"/>
  <c r="W43" i="2"/>
  <c r="W39" i="2"/>
  <c r="W38" i="2"/>
  <c r="W37" i="2"/>
  <c r="W28" i="2"/>
  <c r="W29" i="2"/>
  <c r="W34" i="2" s="1"/>
  <c r="W30" i="2"/>
  <c r="W35" i="2" s="1"/>
  <c r="W31" i="2"/>
  <c r="W36" i="2" s="1"/>
  <c r="W27" i="2"/>
  <c r="W33" i="2"/>
  <c r="W63" i="2" l="1"/>
  <c r="W62" i="2"/>
  <c r="W61" i="2"/>
  <c r="W48" i="2"/>
  <c r="W47" i="2"/>
  <c r="W46" i="2"/>
  <c r="W45" i="2"/>
  <c r="W44" i="2"/>
  <c r="W24" i="2"/>
  <c r="W23" i="2"/>
  <c r="W18" i="2"/>
  <c r="W17" i="2"/>
  <c r="W16" i="2"/>
  <c r="W15" i="2"/>
  <c r="W14" i="2"/>
  <c r="W26" i="2" s="1"/>
  <c r="W13" i="2"/>
  <c r="W25" i="2" s="1"/>
  <c r="W11" i="2"/>
  <c r="N3" i="2" l="1"/>
  <c r="T3" i="2"/>
  <c r="N4" i="2"/>
  <c r="O4" i="2"/>
  <c r="N5" i="2"/>
  <c r="T5" i="2"/>
  <c r="N6" i="2"/>
  <c r="T6" i="2"/>
  <c r="R7" i="2"/>
  <c r="R9" i="2"/>
  <c r="R10" i="2"/>
  <c r="P11" i="2"/>
  <c r="R11" i="2"/>
  <c r="R23" i="2" s="1"/>
  <c r="N12" i="2"/>
  <c r="P12" i="2"/>
  <c r="P13" i="2"/>
  <c r="R13" i="2"/>
  <c r="R25" i="2" s="1"/>
  <c r="P14" i="2"/>
  <c r="R14" i="2"/>
  <c r="R26" i="2" s="1"/>
  <c r="P15" i="2"/>
  <c r="R15" i="2"/>
  <c r="P16" i="2"/>
  <c r="R16" i="2"/>
  <c r="P17" i="2"/>
  <c r="R17" i="2"/>
  <c r="P18" i="2"/>
  <c r="R18" i="2"/>
  <c r="P19" i="2"/>
  <c r="P20" i="2"/>
  <c r="R20" i="2"/>
  <c r="P21" i="2"/>
  <c r="P22" i="2"/>
  <c r="R24" i="2"/>
  <c r="N27" i="2"/>
  <c r="O27" i="2"/>
  <c r="T27" i="2"/>
  <c r="N28" i="2"/>
  <c r="O28" i="2"/>
  <c r="T28" i="2"/>
  <c r="N29" i="2"/>
  <c r="O29" i="2"/>
  <c r="T29" i="2"/>
  <c r="N30" i="2"/>
  <c r="O30" i="2"/>
  <c r="T30" i="2"/>
  <c r="N31" i="2"/>
  <c r="O31" i="2"/>
  <c r="T31" i="2"/>
  <c r="R32" i="2"/>
  <c r="R33" i="2"/>
  <c r="R34" i="2"/>
  <c r="R35" i="2"/>
  <c r="R36" i="2"/>
  <c r="N37" i="2"/>
  <c r="R37" i="2"/>
  <c r="N38" i="2"/>
  <c r="R38" i="2"/>
  <c r="N39" i="2"/>
  <c r="R39" i="2"/>
  <c r="N40" i="2"/>
  <c r="R40" i="2"/>
  <c r="N41" i="2"/>
  <c r="R41" i="2"/>
  <c r="N42" i="2"/>
  <c r="R42" i="2"/>
  <c r="N43" i="2"/>
  <c r="R43" i="2"/>
  <c r="N44" i="2"/>
  <c r="O44" i="2"/>
  <c r="R44" i="2"/>
  <c r="T44" i="2"/>
  <c r="N45" i="2"/>
  <c r="O45" i="2"/>
  <c r="R45" i="2"/>
  <c r="T45" i="2"/>
  <c r="N46" i="2"/>
  <c r="O46" i="2"/>
  <c r="Q46" i="2"/>
  <c r="R46" i="2"/>
  <c r="T46" i="2"/>
  <c r="N47" i="2"/>
  <c r="O47" i="2"/>
  <c r="R47" i="2"/>
  <c r="T47" i="2"/>
  <c r="N48" i="2"/>
  <c r="O48" i="2"/>
  <c r="R48" i="2"/>
  <c r="T48" i="2"/>
  <c r="P49" i="2"/>
  <c r="P50" i="2"/>
  <c r="O51" i="2"/>
  <c r="P51" i="2"/>
  <c r="Q51" i="2"/>
  <c r="T51" i="2"/>
  <c r="P52" i="2"/>
  <c r="P53" i="2"/>
  <c r="N54" i="2"/>
  <c r="R54" i="2"/>
  <c r="N55" i="2"/>
  <c r="R55" i="2"/>
  <c r="N56" i="2"/>
  <c r="O56" i="2"/>
  <c r="Q56" i="2"/>
  <c r="R56" i="2"/>
  <c r="N57" i="2"/>
  <c r="R57" i="2"/>
  <c r="N58" i="2"/>
  <c r="R58" i="2"/>
  <c r="P59" i="2"/>
  <c r="N61" i="2"/>
  <c r="R61" i="2"/>
  <c r="N62" i="2"/>
  <c r="R62" i="2"/>
  <c r="N63" i="2"/>
  <c r="R63" i="2"/>
  <c r="N64" i="2"/>
  <c r="N65" i="2"/>
  <c r="N66" i="2"/>
  <c r="N67" i="2"/>
  <c r="N68" i="2"/>
  <c r="N69" i="2"/>
  <c r="R51" i="2"/>
  <c r="R30" i="2"/>
  <c r="R50" i="2"/>
  <c r="N35" i="2"/>
  <c r="N34" i="2"/>
  <c r="N36" i="2"/>
  <c r="O5" i="2"/>
  <c r="N52" i="2" l="1"/>
  <c r="N50" i="2"/>
  <c r="N49" i="2"/>
  <c r="R27" i="2"/>
  <c r="R59" i="2"/>
  <c r="N33" i="2"/>
  <c r="N32" i="2"/>
  <c r="R29" i="2"/>
  <c r="N18" i="2"/>
  <c r="N16" i="2"/>
  <c r="R28" i="2"/>
  <c r="N17" i="2"/>
  <c r="R31" i="2"/>
  <c r="N11" i="2"/>
  <c r="N15" i="2"/>
  <c r="O17" i="2"/>
  <c r="P24" i="2"/>
  <c r="R19" i="2"/>
  <c r="P26" i="2"/>
  <c r="R21" i="2"/>
  <c r="N24" i="2"/>
  <c r="P60" i="2"/>
  <c r="N51" i="2"/>
  <c r="R49" i="2"/>
  <c r="O3" i="2"/>
  <c r="O6" i="2"/>
  <c r="R53" i="2"/>
  <c r="P25" i="2"/>
  <c r="N59" i="2"/>
  <c r="N53" i="2"/>
  <c r="R52" i="2"/>
  <c r="N13" i="2"/>
  <c r="N14" i="2"/>
  <c r="N8" i="2"/>
  <c r="R22" i="2"/>
  <c r="P23" i="2"/>
  <c r="O16" i="2"/>
  <c r="R60" i="2" l="1"/>
  <c r="N7" i="2"/>
  <c r="O15" i="2"/>
  <c r="N23" i="2"/>
  <c r="O18" i="2"/>
  <c r="N20" i="2"/>
  <c r="N9" i="2"/>
  <c r="N25" i="2"/>
  <c r="N10" i="2"/>
  <c r="N26" i="2"/>
  <c r="N60" i="2"/>
  <c r="N19" i="2" l="1"/>
  <c r="N22" i="2"/>
  <c r="N21" i="2"/>
  <c r="W32" i="2" l="1"/>
</calcChain>
</file>

<file path=xl/sharedStrings.xml><?xml version="1.0" encoding="utf-8"?>
<sst xmlns="http://schemas.openxmlformats.org/spreadsheetml/2006/main" count="1004" uniqueCount="310">
  <si>
    <t>QUANT</t>
  </si>
  <si>
    <t>UNIT</t>
  </si>
  <si>
    <t>( R$ ) - PM</t>
  </si>
  <si>
    <t>m3</t>
  </si>
  <si>
    <t xml:space="preserve"> </t>
  </si>
  <si>
    <t>m2</t>
  </si>
  <si>
    <t>m</t>
  </si>
  <si>
    <t>un</t>
  </si>
  <si>
    <t>BLSA120</t>
  </si>
  <si>
    <t>CLA060</t>
  </si>
  <si>
    <t>DISSIPM</t>
  </si>
  <si>
    <t>serviço</t>
  </si>
  <si>
    <t>TIJOLO</t>
  </si>
  <si>
    <t>cimen</t>
  </si>
  <si>
    <t>areia</t>
  </si>
  <si>
    <t>brita</t>
  </si>
  <si>
    <t>custo
exec</t>
  </si>
  <si>
    <t>CAL</t>
  </si>
  <si>
    <t>forma
   m2</t>
  </si>
  <si>
    <t>TIJOLO
M3</t>
  </si>
  <si>
    <t>concr
magr</t>
  </si>
  <si>
    <t>Concr
11mpa</t>
  </si>
  <si>
    <t>Concr
15mpa</t>
  </si>
  <si>
    <t>argamas
M2</t>
  </si>
  <si>
    <t>aço
ca 60</t>
  </si>
  <si>
    <t>grelha</t>
  </si>
  <si>
    <t>B.L. Símples alvenaria H até 1,20 m</t>
  </si>
  <si>
    <t>B.L. Símples alvenaria H até 1,50 m</t>
  </si>
  <si>
    <t>B.L. Símples alvenaria H até 2,00 m</t>
  </si>
  <si>
    <t>B.L. Símples alvenaria H até 2,50 m</t>
  </si>
  <si>
    <t>C.L. Alvenaria Tubo até 0,80</t>
  </si>
  <si>
    <t>C.L. Alvenaria Tubo até 1,00</t>
  </si>
  <si>
    <t>C.L. Alvenaria Tubo até 1,20</t>
  </si>
  <si>
    <t>K</t>
  </si>
  <si>
    <t>M</t>
  </si>
  <si>
    <t>N</t>
  </si>
  <si>
    <t>O</t>
  </si>
  <si>
    <t>P</t>
  </si>
  <si>
    <t>Q</t>
  </si>
  <si>
    <t>R</t>
  </si>
  <si>
    <t>S</t>
  </si>
  <si>
    <t>C.L. Alvenaria Tubo até 0,40</t>
  </si>
  <si>
    <t>C.L. Alvenaria Tubo até 0,60</t>
  </si>
  <si>
    <t>B.L. Dupla Alvenaria H até 1,20 m</t>
  </si>
  <si>
    <t>B.L. Dupla Alvenaria H até 1,50 m</t>
  </si>
  <si>
    <t>B.L. Dupla Alvenaria H até 2,00 m</t>
  </si>
  <si>
    <t>B.L. Dupla Alvenaria H até 2,50 m</t>
  </si>
  <si>
    <t>B.L. Símples concreto armado H até 1,50 m</t>
  </si>
  <si>
    <t>B.L. Símples concreto armado H até 2,00 m</t>
  </si>
  <si>
    <t>B.L. Símples concreto armado H até 2,50 m</t>
  </si>
  <si>
    <t>B.L. Símples concreto armado H até 1,20 m</t>
  </si>
  <si>
    <t>B.L. Dupla Concreto armado H até 1,50 m</t>
  </si>
  <si>
    <t>B.L. Dupla Concreto armado H até 2,00 m</t>
  </si>
  <si>
    <t>B.L. Dupla Concreto armado H até 2,50 m</t>
  </si>
  <si>
    <t>B.L. Dupla Concreto armado H até 1,20 m</t>
  </si>
  <si>
    <t>CLA040</t>
  </si>
  <si>
    <t>PVAH100</t>
  </si>
  <si>
    <t>P.V. Alvenaria H até 0,80 m Tubo até 0,40 + chaminé 1,00 m</t>
  </si>
  <si>
    <t>P.V. Alvenaria H até 1,00 m Tubo até 0,60 + chaminé 1,00 m</t>
  </si>
  <si>
    <t>P.V. Alvenaria H até 1,30 m Tubo até 0,80 + chaminé 1,00 m</t>
  </si>
  <si>
    <t>P.V. Alvenaria H até 1,50 m Tubo até 1,00 + chaminé 1,00 m</t>
  </si>
  <si>
    <t>P.V. Alvenaria H até 1,80 m Tubo até 1,20 + chaminé 1,00 m</t>
  </si>
  <si>
    <t>P.V. Pré-moldado H até 0,80 m Tubo até 0,40 + chaminé 1,00 m</t>
  </si>
  <si>
    <t>P.V. Pré-moldado H até 1,00 m Tubo até 0,60 + chaminé 1,00 m</t>
  </si>
  <si>
    <t>P.V. Pré-moldado H até 1,30 m Tubo até 0,80 + chaminé 1,00 m</t>
  </si>
  <si>
    <t>P.V. Pré-moldado H até 1,50 m Tubo até 1,00 + chaminé 1,00 m</t>
  </si>
  <si>
    <t>P.V. Pré-moldado H até 1,80 m Tubo até 1,20 + chaminé 1,00 m</t>
  </si>
  <si>
    <t>P.V. Concreto armado H até 0,80 m Tubo até 0,40 + chaminé 1,00 m</t>
  </si>
  <si>
    <t>P.V. Concreto armado H até 1,00 m Tubo até 0,60 + chaminé 1,00 m</t>
  </si>
  <si>
    <t>P.V. Concreto armado H até 1,30 m Tubo até 0,80 + chaminé 1,00 m</t>
  </si>
  <si>
    <t>P.V. Concreto armado H até 1,50 m Tubo até 1,00 + chaminé 1,00 m</t>
  </si>
  <si>
    <t>P.V. Concreto armado H até 1,80 m Tubo até 1,20 + chaminé 1,00 m</t>
  </si>
  <si>
    <t>P.V. Concreto armado H até 2,00 m Tubo até 1,50 + chaminé 1,00 m</t>
  </si>
  <si>
    <t>P.V. Concreto armado H até 2,50 m Tubo até 2,00 + chaminé 1,00 m</t>
  </si>
  <si>
    <t>Dissipador de Energia c/Pedra de Mão tubo ø 1,00</t>
  </si>
  <si>
    <t>Dissipador de Energia c/Pedra de Mão tubo ø 1,20</t>
  </si>
  <si>
    <t>Dissipador de Energia c/Pedra de Mão tubo ø 1,50</t>
  </si>
  <si>
    <t>Pedra Argamassada m3</t>
  </si>
  <si>
    <t>CICLÓP 11
mpa m3</t>
  </si>
  <si>
    <t>534906C</t>
  </si>
  <si>
    <t>x</t>
  </si>
  <si>
    <t>DESCRIÇÃO DOS SERVIÇOS</t>
  </si>
  <si>
    <t>UD</t>
  </si>
  <si>
    <t>PLANILHA DE SERVIÇOS   -   PAVIMENTAÇÃO</t>
  </si>
  <si>
    <t>ORÇAMENTO APROVADO</t>
  </si>
  <si>
    <t>( R$ ) - PM
TOTAIS</t>
  </si>
  <si>
    <t>Município:</t>
  </si>
  <si>
    <t xml:space="preserve">SAM  </t>
  </si>
  <si>
    <t xml:space="preserve">LOTE nº </t>
  </si>
  <si>
    <t/>
  </si>
  <si>
    <t>5</t>
  </si>
  <si>
    <t>2</t>
  </si>
  <si>
    <t>Regularização compac.subleito 100% PN</t>
  </si>
  <si>
    <t>DER</t>
  </si>
  <si>
    <t>3</t>
  </si>
  <si>
    <t>4</t>
  </si>
  <si>
    <t>6</t>
  </si>
  <si>
    <t>Lajotas de Concreto e=8cm - sem colchão</t>
  </si>
  <si>
    <t>Areia</t>
  </si>
  <si>
    <t>Cal Hidratada CH-1</t>
  </si>
  <si>
    <t>Brita</t>
  </si>
  <si>
    <t>Meio-Fio com Sarjeta DER - Tipo 2 - (0,042 m3) - Pré-Moldado</t>
  </si>
  <si>
    <t>Demolição de Concreto Símples (calçadas e outros)</t>
  </si>
  <si>
    <t>Calçada Concreto ( e = 5,00 cm )</t>
  </si>
  <si>
    <t>Rampa para PNE com Piso Tátil (NBR 9050) - Modelo 06 - 7,65 m2</t>
  </si>
  <si>
    <t>Placa sinalização refletiva-octógono (0,2160 m2/ud) + suporte METÁLICO</t>
  </si>
  <si>
    <t>605000C</t>
  </si>
  <si>
    <t>820000H</t>
  </si>
  <si>
    <t>8</t>
  </si>
  <si>
    <t>Escavação de Bueiros em 1ª Categoria</t>
  </si>
  <si>
    <t>Corpo de BSTC ø 0,40 sem Berço e sem Armação</t>
  </si>
  <si>
    <t>Corpo de BSTC ø 0,60 sem Berço e sem Armação</t>
  </si>
  <si>
    <t>B.L. Símples pré-moldado H até 1,20 m</t>
  </si>
  <si>
    <t>B.L. Símples pré-moldado H até 1,50 m</t>
  </si>
  <si>
    <t>B.L. Símples pré-moldado H até 2,00 m</t>
  </si>
  <si>
    <t>B.L. Símples pré-moldado H até 2,50 m</t>
  </si>
  <si>
    <t>B.L. Dupla Pré-moldado H até 1,20 m</t>
  </si>
  <si>
    <t>B.L. Dupla Pré-moldado H até 1,50 m</t>
  </si>
  <si>
    <t>B.L. Dupla Pré-moldado H até 2,00 m</t>
  </si>
  <si>
    <t>B.L. Dupla Pré-moldado H até 2,50 m</t>
  </si>
  <si>
    <t>C.L. pré-moldado Tubo até 0,40</t>
  </si>
  <si>
    <t>C.L. pré-moldado Tubo até 0,60</t>
  </si>
  <si>
    <t>C.L. pré-moldado Tubo até 0,80</t>
  </si>
  <si>
    <t>C.L. pré-moldado Tubo até 1,00</t>
  </si>
  <si>
    <t>C.L. pré-moldado Tubo até 1,20</t>
  </si>
  <si>
    <t>C.L. concreto armado Tubo até 0,40</t>
  </si>
  <si>
    <t>C.L. concreto armado Tubo até 0,60</t>
  </si>
  <si>
    <t>C.L. concreto armado Tubo até 0,80</t>
  </si>
  <si>
    <t>C.L. concreto armado Tubo até 1,00</t>
  </si>
  <si>
    <t>C.L. concreto armado Tubo até 1,20</t>
  </si>
  <si>
    <t>C.L. concreto armado Tubo até 1,50</t>
  </si>
  <si>
    <t>C.L. concreto armado Tubo até 2,00</t>
  </si>
  <si>
    <t>Viga de Apoio em concreto marmado Tubo 0,80</t>
  </si>
  <si>
    <t>Viga de Apoio em concreto marmado Tubo 1,00</t>
  </si>
  <si>
    <t>Viga de Apoio em concreto marmado Tubo 1,20</t>
  </si>
  <si>
    <t>Dissipador de Energia c/Pedra de Mão tubo ø 0, 40</t>
  </si>
  <si>
    <t>Dissipador de Energia c/Pedra de Mão tubo ø 0, 60</t>
  </si>
  <si>
    <t>Dissipador de Energia c/Pedra de Mão tubo ø 0, 80</t>
  </si>
  <si>
    <t>ENSAIO DE ORÇAMENTO 1</t>
  </si>
  <si>
    <t>ENSAIO DE ORÇAMENTO 2</t>
  </si>
  <si>
    <t>ENSAIO DE ORÇAMENTO 3</t>
  </si>
  <si>
    <t>ENSAIO DE ORÇAMENTO 4</t>
  </si>
  <si>
    <t>ENSAIO DE ORÇAMENTO 5</t>
  </si>
  <si>
    <t>ENSAIO DE ORÇAMENTO 6</t>
  </si>
  <si>
    <t>ENSAIO DE ORÇAMENTO 7</t>
  </si>
  <si>
    <t>ENSAIO DE ORÇAMENTO 8</t>
  </si>
  <si>
    <t>ENSAIO DE ORÇAMENTO 9</t>
  </si>
  <si>
    <t>ENSAIO DE ORÇAMENTO 10</t>
  </si>
  <si>
    <t>Código</t>
  </si>
  <si>
    <t>7</t>
  </si>
  <si>
    <t>TERRAPLENAGEM</t>
  </si>
  <si>
    <t>REVESTIMENTO</t>
  </si>
  <si>
    <t>MEIO-FIO E SARJETA</t>
  </si>
  <si>
    <t>DRENAGEM</t>
  </si>
  <si>
    <t>SERVIÇOS PRELIMINARES</t>
  </si>
  <si>
    <t>BASE / SUB-BASE</t>
  </si>
  <si>
    <t>SINALIZAÇÃO DE TRÂNSITO</t>
  </si>
  <si>
    <t>ILUMINAÇÃO PÚBLICA</t>
  </si>
  <si>
    <t>9</t>
  </si>
  <si>
    <t>SERVIÇOS DIVERSOS</t>
  </si>
  <si>
    <t>10</t>
  </si>
  <si>
    <t xml:space="preserve">Faixa de Sinalização Horizontal c/tinta resina acrílica base solvente- (0,034 m2/m2) </t>
  </si>
  <si>
    <t>PREÇO GLOBAL</t>
  </si>
  <si>
    <t>1</t>
  </si>
  <si>
    <t>11</t>
  </si>
  <si>
    <t>Ensaio de Massa Específica - In Situ - Método Frasco de Areia (Grau de Compactação) - Regularização e Compactação do Subleito</t>
  </si>
  <si>
    <t>DAER/RS</t>
  </si>
  <si>
    <t xml:space="preserve">     </t>
  </si>
  <si>
    <t>Fincadinha de concreto - (5x22,5x45cm-0,01125m3/m)</t>
  </si>
  <si>
    <t>ENSAIOS TECNOLÓGICOS</t>
  </si>
  <si>
    <t>tampão
161125</t>
  </si>
  <si>
    <t>8.1</t>
  </si>
  <si>
    <t>SERVIÇOS DE URBANIZAÇÃO</t>
  </si>
  <si>
    <t>aço
ca 50</t>
  </si>
  <si>
    <t>aço
ca 25</t>
  </si>
  <si>
    <t>Concr
18 mpa</t>
  </si>
  <si>
    <t>T</t>
  </si>
  <si>
    <t>TRAÇOS DE CBUQ</t>
  </si>
  <si>
    <t>Nome da Usina / Pedreira</t>
  </si>
  <si>
    <t>Local da Pedreira</t>
  </si>
  <si>
    <t>Local da Usina</t>
  </si>
  <si>
    <t>Composição dos agregados (SEM LIGANTE)</t>
  </si>
  <si>
    <t>MATERIAL</t>
  </si>
  <si>
    <t>Utilização</t>
  </si>
  <si>
    <t>Brita "a"</t>
  </si>
  <si>
    <t>Brita "b"</t>
  </si>
  <si>
    <t>Brita "c"</t>
  </si>
  <si>
    <t>Nome da Brita</t>
  </si>
  <si>
    <t>brita 3/4</t>
  </si>
  <si>
    <t>Pedrisco</t>
  </si>
  <si>
    <t>Pó de pedra</t>
  </si>
  <si>
    <t>Cal Hidratada CH-1 ou Filler</t>
  </si>
  <si>
    <t>% sem ligante</t>
  </si>
  <si>
    <t>Total agregados</t>
  </si>
  <si>
    <t>resumido</t>
  </si>
  <si>
    <t>Composição da MASSA (COM LIGANTE)</t>
  </si>
  <si>
    <t>% COM ligante</t>
  </si>
  <si>
    <t>Traço</t>
  </si>
  <si>
    <t>Total da MASSA</t>
  </si>
  <si>
    <t>Total de LIGANTE</t>
  </si>
  <si>
    <t>TRAÇO 1</t>
  </si>
  <si>
    <t>TRAÇO 3</t>
  </si>
  <si>
    <t>TRAÇO 2</t>
  </si>
  <si>
    <t>"FAIXA B" DER</t>
  </si>
  <si>
    <t>Camada de Ligação  -  BINDER</t>
  </si>
  <si>
    <t>conferência</t>
  </si>
  <si>
    <t>DADOS DO PROJETO MARSHAL</t>
  </si>
  <si>
    <t>FAIXA</t>
  </si>
  <si>
    <t xml:space="preserve">DENSIDADE APARENTE DA MASSA </t>
  </si>
  <si>
    <t>TEÔR ÓTIMO DE LIGANTE</t>
  </si>
  <si>
    <t>% DE CADA AGREGADO</t>
  </si>
  <si>
    <t>COMPOSIÇÃO</t>
  </si>
  <si>
    <t>CÁLCULO DO DA COMPOSIÇÃO</t>
  </si>
  <si>
    <t>Agregados sem Betume</t>
  </si>
  <si>
    <t>Sem Betume</t>
  </si>
  <si>
    <t>CÁLCULO DO DO TRAÇO</t>
  </si>
  <si>
    <t>CÁLCULO DO PERCENTUAL DE AGREADOS NA NASSA</t>
  </si>
  <si>
    <t>Observação :</t>
  </si>
  <si>
    <t xml:space="preserve">O perceentual de Agregados na Massa é: </t>
  </si>
  <si>
    <t>100,00% menos o percentual de betume</t>
  </si>
  <si>
    <t>Percentual de Agregados na Massa</t>
  </si>
  <si>
    <t>Teôr Ótimo de Betume</t>
  </si>
  <si>
    <t>Total da Massa</t>
  </si>
  <si>
    <t>Agregados COM Betume</t>
  </si>
  <si>
    <t>Agregados SEM Betume</t>
  </si>
  <si>
    <t>TRAÇO 4</t>
  </si>
  <si>
    <t>DIGITAR SÓ  NAS CÉLULAS COLORIDAS</t>
  </si>
  <si>
    <t>tubo ø60
610.600</t>
  </si>
  <si>
    <t>l.</t>
  </si>
  <si>
    <t>U</t>
  </si>
  <si>
    <t>V</t>
  </si>
  <si>
    <t>W</t>
  </si>
  <si>
    <t>X</t>
  </si>
  <si>
    <t>Reaterro e apiloamento mecânico</t>
  </si>
  <si>
    <t>Sobre os preços coletados no Site da ANP foram incluídos os impostos, PIS/COFINS (3,65%) e ICMS (18,00%), totalizando 21,65%.</t>
  </si>
  <si>
    <t>Grupo de serviço: LIGANTES BETUMINOSOS</t>
  </si>
  <si>
    <t>Fornecimento de asfalto diluído CM-30</t>
  </si>
  <si>
    <t>t</t>
  </si>
  <si>
    <t>Fornecimento de CAP-30/45</t>
  </si>
  <si>
    <t>Fornecimento de CAP-50/70</t>
  </si>
  <si>
    <t>Fornecimento de emulsão asfáltica EAI p/imprimação</t>
  </si>
  <si>
    <t>Fornecimento de emulsão asfáltica RC-1C-E com polímero</t>
  </si>
  <si>
    <t>Fornecimento de emulsão asfáltica RL-1C</t>
  </si>
  <si>
    <t>Fornecimento de emulsão asfáltica RM-1C</t>
  </si>
  <si>
    <t>Fornecimento de emulsão asfáltica RM-2C</t>
  </si>
  <si>
    <t>Fornecimento de emulsão asfáltica RR-1C</t>
  </si>
  <si>
    <t>Fornecimento de emulsão asfáltica RR-1C-E com polímero</t>
  </si>
  <si>
    <t>Fornecimento de emulsão asfáltica RR-2C</t>
  </si>
  <si>
    <t>Fornecimento de emulsão asfáltica RR-2C-E com polímero</t>
  </si>
  <si>
    <r>
      <rPr>
        <b/>
        <sz val="9"/>
        <rFont val="Arial"/>
        <family val="2"/>
      </rPr>
      <t>Código</t>
    </r>
  </si>
  <si>
    <r>
      <rPr>
        <b/>
        <sz val="9"/>
        <rFont val="Arial"/>
        <family val="2"/>
      </rPr>
      <t>Descrição do Serviço</t>
    </r>
  </si>
  <si>
    <r>
      <rPr>
        <b/>
        <sz val="9"/>
        <rFont val="Arial"/>
        <family val="2"/>
      </rPr>
      <t>Unidade</t>
    </r>
  </si>
  <si>
    <t>DER janeiro 2021</t>
  </si>
  <si>
    <t>Custo 
Unitário
(+21,65%)</t>
  </si>
  <si>
    <t>Projeto:</t>
  </si>
  <si>
    <t>Origem</t>
  </si>
  <si>
    <t>Local da Obra:</t>
  </si>
  <si>
    <t>PLACA DE OBRA TIPO BANNER, 4,00 X 2,00 M, EM QUADRO DE METALON 20 X 20 MM E LONA 360 G, COM IMPRESSÃO DIGITAL, FIXADA EM ESTRUTURA DE MADEIRA.</t>
  </si>
  <si>
    <t>Orçacivil</t>
  </si>
  <si>
    <t>menor valor
Entre:
ANP-Greca-CBB</t>
  </si>
  <si>
    <t>Custo 
Unitário
DER
jan/2021</t>
  </si>
  <si>
    <t>Custo 
Unitário
SEM 
IMPOSTO</t>
  </si>
  <si>
    <t>Custo 
Unitário
Paranacidade
Maio 2021
2ª  PUBLICAÇÃO</t>
  </si>
  <si>
    <t>Custo 
Unitário
Paranacidade
Maio 2021
1ª  PUBLICAÇÃO</t>
  </si>
  <si>
    <t>ANP1</t>
  </si>
  <si>
    <t>ANP2</t>
  </si>
  <si>
    <t>Preços de distribuição de produtos asfálticos</t>
  </si>
  <si>
    <t>Preços de produtores e importadores de derivados de petróleo</t>
  </si>
  <si>
    <t>PARANÁ</t>
  </si>
  <si>
    <t>REGIÃO SUL</t>
  </si>
  <si>
    <t>ANP3</t>
  </si>
  <si>
    <t>produtores sul</t>
  </si>
  <si>
    <t>Fornecimento de asfalto modificado por borracha AB8</t>
  </si>
  <si>
    <t>606700B</t>
  </si>
  <si>
    <t>532500B</t>
  </si>
  <si>
    <t>511100A</t>
  </si>
  <si>
    <t>534906L</t>
  </si>
  <si>
    <t>810250F</t>
  </si>
  <si>
    <t>COMPOSIÇÃO1</t>
  </si>
  <si>
    <t>Colchão de Areia para assentamento de calçadas</t>
  </si>
  <si>
    <t>605000K</t>
  </si>
  <si>
    <t>601200A</t>
  </si>
  <si>
    <t>610400A</t>
  </si>
  <si>
    <t>610600A</t>
  </si>
  <si>
    <t>ENSAIOS TECNOLÓGICOS
(Os custos com mobilização e desmobilização de equipe e equipamentos para a extração de amostras para os ensaios tecnológicos, exceto da capa asfáltica, serão de responsabilidade da empresa executora da obra)</t>
  </si>
  <si>
    <t>Fornecimento de asfalto modificado por borracha AB22</t>
  </si>
  <si>
    <t>Fornecimento de emulsão asfáltica RL-1C-E com polímero</t>
  </si>
  <si>
    <t>Fornecimento de emulsão asfáltica RM-1C-E com polímero</t>
  </si>
  <si>
    <t>Greca 
Asfáltos
+ 3,65%</t>
  </si>
  <si>
    <t>CBB 
Asfáltos
+ 18,00%</t>
  </si>
  <si>
    <t>brasil</t>
  </si>
  <si>
    <t>Paraná</t>
  </si>
  <si>
    <t>Fornecimento de CAP-modifocado por polímero elastomérico 55/75-E</t>
  </si>
  <si>
    <t>Fornecimento de CAP-modifocado por polímero elastomérico 60/85-E</t>
  </si>
  <si>
    <t>Fornecimento de CAP-modifocado por polímero elastomérico 65/90-E</t>
  </si>
  <si>
    <t>Fornecimento de CAP-modifocado por polímero elastomérico SBS 55/75</t>
  </si>
  <si>
    <t>Fornecimento de CAP-modifocado por polímero elastomérico SBS 60/85.</t>
  </si>
  <si>
    <t>Fornecimento de CAP-modifocado por polímero elastomérico SBS 65/90</t>
  </si>
  <si>
    <t>PAISAGISMO / URBANISMO</t>
  </si>
  <si>
    <t>Custo 
Unitário
Paranacidade
Agosto 2021
3ª  PUBLICAÇÃO</t>
  </si>
  <si>
    <t>ANP 1 
(Produtores)
 15 NOVEMBRO / 2021</t>
  </si>
  <si>
    <t>ANP 2 
(Distribuidores Estado)
NOVEMBRO / 2021</t>
  </si>
  <si>
    <t>ANP 3 
(Distribuidores Região Sul)
NOVEMBRO / 2021</t>
  </si>
  <si>
    <t>(Pesquisa Curitiba)
AGOSTO / 2021</t>
  </si>
  <si>
    <t>Custo 
Unitário
Paranacidade
Novembro 2021
4ª  PUBLICAÇÃO</t>
  </si>
  <si>
    <t>Paver ou Bloket  Colorido podotátil e=6cm - sem colchão</t>
  </si>
  <si>
    <t>SALTO DO ITARARÉ</t>
  </si>
  <si>
    <t>Loteamento Ver. Jorge Carvalho</t>
  </si>
  <si>
    <t>26</t>
  </si>
  <si>
    <t>Pavimentação de vias urbanas em blocos de concreto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</si>
</sst>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&quot;R$&quot;#,##0.00_);\(&quot;R$&quot;#,##0.00\)"/>
    <numFmt numFmtId="166" formatCode="0.000"/>
    <numFmt numFmtId="167" formatCode="0.0000"/>
    <numFmt numFmtId="172" formatCode="d/m/yy;@"/>
    <numFmt numFmtId="174" formatCode="0.000%"/>
    <numFmt numFmtId="175" formatCode="#,##0.000"/>
    <numFmt numFmtId="176" formatCode="0.00000"/>
  </numFmts>
  <fonts count="28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MS Sans Serif"/>
    </font>
    <font>
      <b/>
      <sz val="16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color indexed="9"/>
      <name val="Times New Roman"/>
      <family val="1"/>
    </font>
    <font>
      <b/>
      <sz val="18"/>
      <name val="Arial"/>
      <family val="2"/>
    </font>
    <font>
      <b/>
      <sz val="22"/>
      <name val="Arial"/>
      <family val="2"/>
    </font>
    <font>
      <sz val="12"/>
      <color theme="1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9"/>
      <name val="Arial"/>
      <family val="2"/>
    </font>
    <font>
      <u/>
      <sz val="8"/>
      <color theme="10"/>
      <name val="Arial"/>
      <family val="2"/>
    </font>
    <font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92D050"/>
      </patternFill>
    </fill>
    <fill>
      <patternFill patternType="lightGray">
        <bgColor theme="0"/>
      </patternFill>
    </fill>
    <fill>
      <patternFill patternType="solid">
        <fgColor theme="2" tint="-9.9978637043366805E-2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5">
    <xf numFmtId="0" fontId="0" fillId="0" borderId="0"/>
    <xf numFmtId="0" fontId="5" fillId="0" borderId="0"/>
    <xf numFmtId="164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3" fillId="0" borderId="0"/>
    <xf numFmtId="0" fontId="15" fillId="0" borderId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343">
    <xf numFmtId="0" fontId="0" fillId="0" borderId="0" xfId="0"/>
    <xf numFmtId="167" fontId="10" fillId="0" borderId="6" xfId="1" applyNumberFormat="1" applyFont="1" applyFill="1" applyBorder="1" applyAlignment="1">
      <alignment horizontal="center"/>
    </xf>
    <xf numFmtId="0" fontId="0" fillId="0" borderId="0" xfId="0" applyFill="1"/>
    <xf numFmtId="0" fontId="8" fillId="0" borderId="8" xfId="0" applyFont="1" applyFill="1" applyBorder="1" applyAlignment="1">
      <alignment horizontal="left"/>
    </xf>
    <xf numFmtId="0" fontId="10" fillId="0" borderId="0" xfId="0" applyFont="1" applyFill="1" applyAlignment="1"/>
    <xf numFmtId="1" fontId="10" fillId="0" borderId="6" xfId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0" fontId="8" fillId="0" borderId="9" xfId="0" applyFont="1" applyFill="1" applyBorder="1" applyAlignment="1">
      <alignment horizontal="left"/>
    </xf>
    <xf numFmtId="0" fontId="10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2" fontId="8" fillId="0" borderId="6" xfId="1" applyNumberFormat="1" applyFont="1" applyFill="1" applyBorder="1" applyAlignment="1">
      <alignment horizontal="center" wrapText="1"/>
    </xf>
    <xf numFmtId="0" fontId="8" fillId="0" borderId="26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2" fontId="8" fillId="0" borderId="6" xfId="1" applyNumberFormat="1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textRotation="180" wrapText="1"/>
    </xf>
    <xf numFmtId="0" fontId="8" fillId="0" borderId="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wrapText="1"/>
    </xf>
    <xf numFmtId="2" fontId="10" fillId="0" borderId="26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0" xfId="1" applyFont="1" applyFill="1"/>
    <xf numFmtId="0" fontId="10" fillId="0" borderId="0" xfId="1" applyFont="1" applyFill="1" applyAlignment="1"/>
    <xf numFmtId="0" fontId="5" fillId="0" borderId="0" xfId="1" applyFill="1"/>
    <xf numFmtId="0" fontId="5" fillId="0" borderId="0" xfId="1" applyFill="1" applyAlignment="1">
      <alignment horizontal="center"/>
    </xf>
    <xf numFmtId="0" fontId="6" fillId="0" borderId="0" xfId="1" applyFont="1" applyFill="1"/>
    <xf numFmtId="0" fontId="7" fillId="0" borderId="0" xfId="1" applyFont="1" applyFill="1"/>
    <xf numFmtId="2" fontId="8" fillId="0" borderId="0" xfId="1" applyNumberFormat="1" applyFont="1" applyFill="1" applyBorder="1" applyAlignment="1">
      <alignment horizontal="center" wrapText="1"/>
    </xf>
    <xf numFmtId="0" fontId="10" fillId="2" borderId="0" xfId="0" applyFont="1" applyFill="1" applyAlignment="1"/>
    <xf numFmtId="0" fontId="3" fillId="2" borderId="9" xfId="0" applyFont="1" applyFill="1" applyBorder="1" applyAlignment="1">
      <alignment horizontal="left"/>
    </xf>
    <xf numFmtId="1" fontId="10" fillId="2" borderId="7" xfId="1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1" fontId="10" fillId="2" borderId="6" xfId="1" applyNumberFormat="1" applyFont="1" applyFill="1" applyBorder="1" applyAlignment="1">
      <alignment horizontal="center"/>
    </xf>
    <xf numFmtId="2" fontId="8" fillId="2" borderId="0" xfId="0" applyNumberFormat="1" applyFont="1" applyFill="1" applyAlignment="1">
      <alignment horizontal="center"/>
    </xf>
    <xf numFmtId="166" fontId="8" fillId="2" borderId="0" xfId="0" applyNumberFormat="1" applyFont="1" applyFill="1" applyAlignment="1">
      <alignment horizontal="center"/>
    </xf>
    <xf numFmtId="2" fontId="10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2" fontId="8" fillId="0" borderId="8" xfId="1" applyNumberFormat="1" applyFont="1" applyFill="1" applyBorder="1" applyAlignment="1">
      <alignment horizontal="center"/>
    </xf>
    <xf numFmtId="0" fontId="5" fillId="0" borderId="0" xfId="13" applyProtection="1">
      <protection locked="0"/>
    </xf>
    <xf numFmtId="0" fontId="8" fillId="2" borderId="8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167" fontId="10" fillId="2" borderId="6" xfId="1" applyNumberFormat="1" applyFont="1" applyFill="1" applyBorder="1" applyAlignment="1">
      <alignment horizontal="center"/>
    </xf>
    <xf numFmtId="0" fontId="0" fillId="2" borderId="0" xfId="0" applyFill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0" fillId="3" borderId="72" xfId="0" applyFont="1" applyFill="1" applyBorder="1" applyProtection="1">
      <protection locked="0"/>
    </xf>
    <xf numFmtId="0" fontId="10" fillId="3" borderId="73" xfId="0" applyFont="1" applyFill="1" applyBorder="1" applyProtection="1">
      <protection locked="0"/>
    </xf>
    <xf numFmtId="0" fontId="10" fillId="3" borderId="74" xfId="0" applyFont="1" applyFill="1" applyBorder="1" applyProtection="1">
      <protection locked="0"/>
    </xf>
    <xf numFmtId="0" fontId="10" fillId="3" borderId="75" xfId="0" applyFont="1" applyFill="1" applyBorder="1" applyProtection="1">
      <protection locked="0"/>
    </xf>
    <xf numFmtId="0" fontId="10" fillId="3" borderId="11" xfId="0" applyFont="1" applyFill="1" applyBorder="1" applyProtection="1">
      <protection locked="0"/>
    </xf>
    <xf numFmtId="0" fontId="10" fillId="3" borderId="17" xfId="0" applyFont="1" applyFill="1" applyBorder="1" applyProtection="1">
      <protection locked="0"/>
    </xf>
    <xf numFmtId="0" fontId="8" fillId="3" borderId="77" xfId="0" applyFont="1" applyFill="1" applyBorder="1" applyAlignment="1" applyProtection="1">
      <alignment horizontal="left" indent="3"/>
      <protection locked="0"/>
    </xf>
    <xf numFmtId="0" fontId="0" fillId="3" borderId="77" xfId="0" applyFill="1" applyBorder="1" applyProtection="1">
      <protection locked="0"/>
    </xf>
    <xf numFmtId="0" fontId="0" fillId="3" borderId="76" xfId="0" applyFill="1" applyBorder="1" applyProtection="1">
      <protection locked="0"/>
    </xf>
    <xf numFmtId="0" fontId="8" fillId="3" borderId="11" xfId="0" applyFont="1" applyFill="1" applyBorder="1" applyAlignment="1" applyProtection="1">
      <alignment horizontal="left" indent="3"/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75" fontId="10" fillId="3" borderId="84" xfId="2" applyNumberFormat="1" applyFont="1" applyFill="1" applyBorder="1" applyAlignment="1" applyProtection="1">
      <alignment horizontal="left"/>
      <protection locked="0"/>
    </xf>
    <xf numFmtId="10" fontId="10" fillId="3" borderId="84" xfId="3" applyNumberFormat="1" applyFont="1" applyFill="1" applyBorder="1" applyAlignment="1" applyProtection="1">
      <alignment horizontal="left"/>
      <protection locked="0"/>
    </xf>
    <xf numFmtId="0" fontId="8" fillId="3" borderId="78" xfId="0" applyFont="1" applyFill="1" applyBorder="1" applyAlignment="1" applyProtection="1">
      <alignment horizontal="left" indent="2"/>
      <protection locked="0"/>
    </xf>
    <xf numFmtId="10" fontId="10" fillId="3" borderId="83" xfId="3" applyNumberFormat="1" applyFont="1" applyFill="1" applyBorder="1" applyAlignment="1" applyProtection="1">
      <alignment horizontal="center"/>
      <protection locked="0"/>
    </xf>
    <xf numFmtId="0" fontId="8" fillId="3" borderId="80" xfId="0" applyFont="1" applyFill="1" applyBorder="1" applyAlignment="1" applyProtection="1">
      <alignment horizontal="left" indent="2"/>
      <protection locked="0"/>
    </xf>
    <xf numFmtId="10" fontId="10" fillId="3" borderId="84" xfId="3" applyNumberFormat="1" applyFont="1" applyFill="1" applyBorder="1" applyAlignment="1" applyProtection="1">
      <alignment horizontal="center"/>
      <protection locked="0"/>
    </xf>
    <xf numFmtId="0" fontId="8" fillId="3" borderId="81" xfId="0" applyFont="1" applyFill="1" applyBorder="1" applyAlignment="1" applyProtection="1">
      <alignment horizontal="left" indent="2"/>
      <protection locked="0"/>
    </xf>
    <xf numFmtId="10" fontId="10" fillId="3" borderId="85" xfId="3" applyNumberFormat="1" applyFon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 applyProtection="1">
      <alignment horizontal="left" indent="1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0" fontId="8" fillId="3" borderId="7" xfId="0" applyFont="1" applyFill="1" applyBorder="1" applyAlignment="1" applyProtection="1">
      <alignment horizontal="left" indent="2"/>
      <protection locked="0"/>
    </xf>
    <xf numFmtId="10" fontId="10" fillId="3" borderId="82" xfId="3" applyNumberFormat="1" applyFont="1" applyFill="1" applyBorder="1" applyAlignment="1" applyProtection="1">
      <alignment horizontal="center"/>
      <protection locked="0"/>
    </xf>
    <xf numFmtId="0" fontId="3" fillId="0" borderId="14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3" fillId="0" borderId="12" xfId="0" applyFont="1" applyFill="1" applyBorder="1" applyProtection="1">
      <protection locked="0"/>
    </xf>
    <xf numFmtId="174" fontId="0" fillId="0" borderId="13" xfId="3" applyNumberFormat="1" applyFont="1" applyFill="1" applyBorder="1" applyProtection="1">
      <protection locked="0"/>
    </xf>
    <xf numFmtId="167" fontId="0" fillId="0" borderId="13" xfId="0" applyNumberFormat="1" applyFill="1" applyBorder="1" applyProtection="1">
      <protection locked="0"/>
    </xf>
    <xf numFmtId="0" fontId="3" fillId="0" borderId="14" xfId="0" applyFont="1" applyFill="1" applyBorder="1" applyAlignment="1" applyProtection="1">
      <alignment horizontal="right" indent="1"/>
      <protection locked="0"/>
    </xf>
    <xf numFmtId="174" fontId="0" fillId="0" borderId="15" xfId="3" applyNumberFormat="1" applyFont="1" applyFill="1" applyBorder="1" applyProtection="1">
      <protection locked="0"/>
    </xf>
    <xf numFmtId="167" fontId="3" fillId="0" borderId="39" xfId="2" applyNumberFormat="1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right"/>
      <protection locked="0"/>
    </xf>
    <xf numFmtId="174" fontId="0" fillId="0" borderId="17" xfId="3" applyNumberFormat="1" applyFont="1" applyFill="1" applyBorder="1" applyProtection="1">
      <protection locked="0"/>
    </xf>
    <xf numFmtId="167" fontId="3" fillId="0" borderId="17" xfId="0" applyNumberFormat="1" applyFont="1" applyFill="1" applyBorder="1" applyAlignment="1" applyProtection="1">
      <alignment horizontal="center"/>
      <protection locked="0"/>
    </xf>
    <xf numFmtId="0" fontId="3" fillId="0" borderId="57" xfId="0" applyFont="1" applyFill="1" applyBorder="1" applyAlignment="1" applyProtection="1">
      <alignment horizontal="right"/>
      <protection locked="0"/>
    </xf>
    <xf numFmtId="174" fontId="0" fillId="0" borderId="44" xfId="3" applyNumberFormat="1" applyFont="1" applyFill="1" applyBorder="1" applyProtection="1">
      <protection locked="0"/>
    </xf>
    <xf numFmtId="167" fontId="3" fillId="0" borderId="44" xfId="2" applyNumberFormat="1" applyFont="1" applyFill="1" applyBorder="1" applyAlignment="1" applyProtection="1">
      <alignment horizontal="center"/>
      <protection locked="0"/>
    </xf>
    <xf numFmtId="0" fontId="3" fillId="0" borderId="54" xfId="0" applyFont="1" applyFill="1" applyBorder="1" applyAlignment="1" applyProtection="1">
      <alignment horizontal="right"/>
      <protection locked="0"/>
    </xf>
    <xf numFmtId="174" fontId="0" fillId="0" borderId="46" xfId="3" applyNumberFormat="1" applyFont="1" applyFill="1" applyBorder="1" applyProtection="1">
      <protection locked="0"/>
    </xf>
    <xf numFmtId="167" fontId="3" fillId="0" borderId="46" xfId="2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3" fillId="0" borderId="47" xfId="0" applyFont="1" applyFill="1" applyBorder="1" applyAlignment="1" applyProtection="1">
      <alignment horizontal="right"/>
      <protection locked="0"/>
    </xf>
    <xf numFmtId="174" fontId="3" fillId="0" borderId="58" xfId="3" applyNumberFormat="1" applyFont="1" applyFill="1" applyBorder="1" applyProtection="1">
      <protection locked="0"/>
    </xf>
    <xf numFmtId="167" fontId="3" fillId="0" borderId="58" xfId="2" applyNumberFormat="1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3" fillId="0" borderId="59" xfId="0" applyFont="1" applyFill="1" applyBorder="1" applyAlignment="1" applyProtection="1">
      <alignment horizontal="right"/>
      <protection locked="0"/>
    </xf>
    <xf numFmtId="0" fontId="8" fillId="0" borderId="60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8" fillId="0" borderId="12" xfId="0" applyFont="1" applyBorder="1" applyProtection="1"/>
    <xf numFmtId="0" fontId="8" fillId="0" borderId="14" xfId="0" applyFont="1" applyBorder="1" applyProtection="1"/>
    <xf numFmtId="0" fontId="8" fillId="0" borderId="16" xfId="0" applyFont="1" applyBorder="1" applyProtection="1"/>
    <xf numFmtId="0" fontId="10" fillId="3" borderId="11" xfId="0" applyFont="1" applyFill="1" applyBorder="1" applyProtection="1"/>
    <xf numFmtId="0" fontId="10" fillId="3" borderId="17" xfId="0" applyFont="1" applyFill="1" applyBorder="1" applyProtection="1"/>
    <xf numFmtId="0" fontId="14" fillId="0" borderId="12" xfId="0" applyFont="1" applyFill="1" applyBorder="1" applyAlignment="1" applyProtection="1">
      <alignment horizontal="right"/>
    </xf>
    <xf numFmtId="0" fontId="8" fillId="0" borderId="53" xfId="0" applyFont="1" applyFill="1" applyBorder="1" applyAlignment="1" applyProtection="1">
      <alignment horizontal="right"/>
    </xf>
    <xf numFmtId="0" fontId="0" fillId="0" borderId="16" xfId="0" applyBorder="1" applyProtection="1"/>
    <xf numFmtId="0" fontId="8" fillId="0" borderId="48" xfId="0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0" fillId="0" borderId="0" xfId="0" applyFill="1" applyBorder="1" applyProtection="1"/>
    <xf numFmtId="0" fontId="14" fillId="0" borderId="12" xfId="0" applyFont="1" applyFill="1" applyBorder="1" applyAlignment="1" applyProtection="1">
      <alignment horizontal="centerContinuous"/>
    </xf>
    <xf numFmtId="0" fontId="0" fillId="0" borderId="10" xfId="0" applyBorder="1" applyAlignment="1" applyProtection="1">
      <alignment horizontal="centerContinuous"/>
    </xf>
    <xf numFmtId="0" fontId="0" fillId="0" borderId="19" xfId="0" applyBorder="1" applyAlignment="1" applyProtection="1">
      <alignment horizontal="centerContinuous"/>
    </xf>
    <xf numFmtId="0" fontId="0" fillId="0" borderId="10" xfId="0" applyBorder="1" applyProtection="1"/>
    <xf numFmtId="0" fontId="14" fillId="0" borderId="90" xfId="0" applyFont="1" applyFill="1" applyBorder="1" applyAlignment="1" applyProtection="1">
      <alignment horizontal="centerContinuous"/>
    </xf>
    <xf numFmtId="0" fontId="0" fillId="0" borderId="13" xfId="0" applyBorder="1" applyAlignment="1" applyProtection="1">
      <alignment horizontal="centerContinuous"/>
    </xf>
    <xf numFmtId="0" fontId="8" fillId="0" borderId="91" xfId="0" applyFont="1" applyBorder="1" applyAlignment="1" applyProtection="1">
      <alignment horizontal="left" indent="5"/>
    </xf>
    <xf numFmtId="0" fontId="0" fillId="0" borderId="79" xfId="0" applyBorder="1" applyAlignment="1" applyProtection="1">
      <alignment horizontal="left"/>
    </xf>
    <xf numFmtId="0" fontId="0" fillId="0" borderId="0" xfId="0" applyBorder="1" applyProtection="1"/>
    <xf numFmtId="0" fontId="0" fillId="0" borderId="86" xfId="0" applyBorder="1" applyProtection="1"/>
    <xf numFmtId="0" fontId="0" fillId="0" borderId="15" xfId="0" applyBorder="1" applyProtection="1"/>
    <xf numFmtId="0" fontId="8" fillId="0" borderId="14" xfId="0" applyFont="1" applyBorder="1" applyAlignment="1" applyProtection="1">
      <alignment horizontal="left" indent="5"/>
    </xf>
    <xf numFmtId="0" fontId="0" fillId="0" borderId="0" xfId="0" applyBorder="1" applyAlignment="1" applyProtection="1">
      <alignment horizontal="left"/>
    </xf>
    <xf numFmtId="0" fontId="14" fillId="0" borderId="70" xfId="0" applyFont="1" applyFill="1" applyBorder="1" applyAlignment="1" applyProtection="1">
      <alignment horizontal="centerContinuous"/>
    </xf>
    <xf numFmtId="0" fontId="0" fillId="0" borderId="44" xfId="0" applyBorder="1" applyAlignment="1" applyProtection="1">
      <alignment horizontal="centerContinuous"/>
    </xf>
    <xf numFmtId="0" fontId="8" fillId="0" borderId="89" xfId="0" applyFont="1" applyFill="1" applyBorder="1" applyAlignment="1" applyProtection="1">
      <alignment horizontal="centerContinuous"/>
    </xf>
    <xf numFmtId="0" fontId="0" fillId="0" borderId="9" xfId="0" applyBorder="1" applyAlignment="1" applyProtection="1">
      <alignment horizontal="centerContinuous"/>
    </xf>
    <xf numFmtId="0" fontId="0" fillId="0" borderId="37" xfId="0" applyBorder="1" applyAlignment="1" applyProtection="1">
      <alignment horizontal="centerContinuous"/>
    </xf>
    <xf numFmtId="0" fontId="10" fillId="0" borderId="64" xfId="0" applyFont="1" applyFill="1" applyBorder="1" applyAlignment="1" applyProtection="1">
      <alignment horizontal="center"/>
    </xf>
    <xf numFmtId="0" fontId="10" fillId="0" borderId="36" xfId="0" applyFont="1" applyFill="1" applyBorder="1" applyAlignment="1" applyProtection="1">
      <alignment horizontal="centerContinuous"/>
    </xf>
    <xf numFmtId="0" fontId="10" fillId="0" borderId="54" xfId="0" applyFont="1" applyFill="1" applyBorder="1" applyAlignment="1" applyProtection="1">
      <alignment horizontal="center"/>
    </xf>
    <xf numFmtId="0" fontId="10" fillId="0" borderId="7" xfId="0" applyFont="1" applyFill="1" applyBorder="1" applyAlignment="1" applyProtection="1">
      <alignment horizontal="centerContinuous"/>
    </xf>
    <xf numFmtId="0" fontId="10" fillId="0" borderId="38" xfId="0" applyFont="1" applyFill="1" applyBorder="1" applyAlignment="1" applyProtection="1">
      <alignment horizontal="centerContinuous"/>
    </xf>
    <xf numFmtId="0" fontId="0" fillId="0" borderId="70" xfId="0" applyBorder="1" applyProtection="1"/>
    <xf numFmtId="0" fontId="10" fillId="0" borderId="65" xfId="0" applyFont="1" applyFill="1" applyBorder="1" applyAlignment="1" applyProtection="1">
      <alignment horizontal="centerContinuous"/>
    </xf>
    <xf numFmtId="0" fontId="8" fillId="0" borderId="92" xfId="0" applyFont="1" applyFill="1" applyBorder="1" applyProtection="1"/>
    <xf numFmtId="0" fontId="0" fillId="0" borderId="35" xfId="0" applyBorder="1" applyProtection="1"/>
    <xf numFmtId="0" fontId="0" fillId="0" borderId="36" xfId="0" applyBorder="1" applyProtection="1"/>
    <xf numFmtId="0" fontId="8" fillId="0" borderId="88" xfId="0" applyFont="1" applyFill="1" applyBorder="1" applyProtection="1"/>
    <xf numFmtId="0" fontId="8" fillId="0" borderId="1" xfId="0" applyFont="1" applyFill="1" applyBorder="1" applyAlignment="1" applyProtection="1">
      <alignment horizontal="left" indent="2"/>
    </xf>
    <xf numFmtId="10" fontId="10" fillId="0" borderId="65" xfId="3" applyNumberFormat="1" applyFont="1" applyFill="1" applyBorder="1" applyAlignment="1" applyProtection="1">
      <alignment horizontal="center"/>
    </xf>
    <xf numFmtId="0" fontId="8" fillId="0" borderId="93" xfId="0" applyFont="1" applyFill="1" applyBorder="1" applyProtection="1"/>
    <xf numFmtId="0" fontId="0" fillId="0" borderId="28" xfId="0" applyBorder="1" applyProtection="1"/>
    <xf numFmtId="0" fontId="0" fillId="0" borderId="41" xfId="0" applyBorder="1" applyProtection="1"/>
    <xf numFmtId="0" fontId="8" fillId="0" borderId="29" xfId="0" applyFont="1" applyFill="1" applyBorder="1" applyProtection="1"/>
    <xf numFmtId="0" fontId="8" fillId="0" borderId="6" xfId="0" applyFont="1" applyFill="1" applyBorder="1" applyAlignment="1" applyProtection="1">
      <alignment horizontal="left" indent="2"/>
    </xf>
    <xf numFmtId="10" fontId="10" fillId="0" borderId="30" xfId="3" applyNumberFormat="1" applyFont="1" applyFill="1" applyBorder="1" applyAlignment="1" applyProtection="1">
      <alignment horizontal="center"/>
    </xf>
    <xf numFmtId="0" fontId="8" fillId="0" borderId="70" xfId="0" applyFont="1" applyFill="1" applyBorder="1" applyAlignment="1" applyProtection="1">
      <alignment horizontal="left" indent="2"/>
    </xf>
    <xf numFmtId="0" fontId="10" fillId="0" borderId="89" xfId="0" applyFont="1" applyBorder="1" applyProtection="1"/>
    <xf numFmtId="10" fontId="8" fillId="0" borderId="6" xfId="3" applyNumberFormat="1" applyFont="1" applyFill="1" applyBorder="1" applyAlignment="1" applyProtection="1">
      <alignment horizontal="center"/>
    </xf>
    <xf numFmtId="10" fontId="8" fillId="0" borderId="30" xfId="3" applyNumberFormat="1" applyFont="1" applyFill="1" applyBorder="1" applyAlignment="1" applyProtection="1">
      <alignment horizontal="center"/>
    </xf>
    <xf numFmtId="0" fontId="10" fillId="0" borderId="16" xfId="0" applyFont="1" applyBorder="1" applyProtection="1"/>
    <xf numFmtId="0" fontId="8" fillId="0" borderId="23" xfId="0" applyFont="1" applyFill="1" applyBorder="1" applyAlignment="1" applyProtection="1">
      <alignment horizontal="left" indent="2"/>
    </xf>
    <xf numFmtId="0" fontId="8" fillId="0" borderId="23" xfId="0" applyFont="1" applyFill="1" applyBorder="1" applyAlignment="1" applyProtection="1">
      <alignment horizontal="center"/>
    </xf>
    <xf numFmtId="0" fontId="0" fillId="0" borderId="11" xfId="0" applyBorder="1" applyProtection="1"/>
    <xf numFmtId="0" fontId="0" fillId="0" borderId="64" xfId="0" applyBorder="1" applyProtection="1"/>
    <xf numFmtId="0" fontId="0" fillId="0" borderId="9" xfId="0" applyBorder="1" applyProtection="1"/>
    <xf numFmtId="0" fontId="0" fillId="0" borderId="37" xfId="0" applyBorder="1" applyProtection="1"/>
    <xf numFmtId="0" fontId="0" fillId="0" borderId="87" xfId="0" applyBorder="1" applyProtection="1"/>
    <xf numFmtId="0" fontId="0" fillId="0" borderId="14" xfId="0" applyBorder="1" applyProtection="1"/>
    <xf numFmtId="0" fontId="8" fillId="0" borderId="86" xfId="0" applyFont="1" applyFill="1" applyBorder="1" applyAlignment="1" applyProtection="1">
      <alignment horizontal="left"/>
    </xf>
    <xf numFmtId="0" fontId="14" fillId="0" borderId="57" xfId="0" applyFont="1" applyFill="1" applyBorder="1" applyAlignment="1" applyProtection="1">
      <alignment horizontal="centerContinuous"/>
    </xf>
    <xf numFmtId="0" fontId="8" fillId="0" borderId="89" xfId="0" applyFont="1" applyFill="1" applyBorder="1" applyAlignment="1" applyProtection="1">
      <alignment horizontal="center"/>
    </xf>
    <xf numFmtId="0" fontId="8" fillId="0" borderId="36" xfId="0" applyFont="1" applyFill="1" applyBorder="1" applyAlignment="1" applyProtection="1">
      <alignment horizontal="centerContinuous"/>
    </xf>
    <xf numFmtId="0" fontId="3" fillId="0" borderId="57" xfId="0" applyFont="1" applyBorder="1" applyProtection="1"/>
    <xf numFmtId="0" fontId="8" fillId="0" borderId="65" xfId="0" applyFont="1" applyFill="1" applyBorder="1" applyAlignment="1" applyProtection="1">
      <alignment horizontal="centerContinuous"/>
    </xf>
    <xf numFmtId="0" fontId="0" fillId="0" borderId="34" xfId="0" applyBorder="1" applyProtection="1"/>
    <xf numFmtId="0" fontId="8" fillId="0" borderId="94" xfId="0" applyFont="1" applyFill="1" applyBorder="1" applyAlignment="1" applyProtection="1">
      <alignment horizontal="left" indent="2"/>
    </xf>
    <xf numFmtId="167" fontId="8" fillId="0" borderId="65" xfId="3" applyNumberFormat="1" applyFont="1" applyFill="1" applyBorder="1" applyAlignment="1" applyProtection="1">
      <alignment horizontal="center"/>
    </xf>
    <xf numFmtId="0" fontId="0" fillId="0" borderId="31" xfId="0" applyBorder="1" applyProtection="1"/>
    <xf numFmtId="0" fontId="8" fillId="0" borderId="7" xfId="0" applyFont="1" applyFill="1" applyBorder="1" applyAlignment="1" applyProtection="1">
      <alignment horizontal="left"/>
    </xf>
    <xf numFmtId="0" fontId="0" fillId="0" borderId="38" xfId="0" applyBorder="1" applyProtection="1"/>
    <xf numFmtId="0" fontId="8" fillId="0" borderId="54" xfId="0" applyFont="1" applyFill="1" applyBorder="1" applyAlignment="1" applyProtection="1">
      <alignment horizontal="left" indent="2"/>
    </xf>
    <xf numFmtId="167" fontId="8" fillId="0" borderId="30" xfId="3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/>
    </xf>
    <xf numFmtId="174" fontId="8" fillId="0" borderId="0" xfId="3" applyNumberFormat="1" applyFont="1" applyFill="1" applyBorder="1" applyAlignment="1" applyProtection="1">
      <alignment horizontal="center"/>
    </xf>
    <xf numFmtId="0" fontId="8" fillId="0" borderId="57" xfId="0" applyFont="1" applyFill="1" applyBorder="1" applyAlignment="1" applyProtection="1">
      <alignment horizontal="left" indent="2"/>
    </xf>
    <xf numFmtId="0" fontId="10" fillId="0" borderId="0" xfId="0" applyFont="1" applyFill="1" applyBorder="1" applyProtection="1"/>
    <xf numFmtId="0" fontId="8" fillId="0" borderId="29" xfId="0" applyFont="1" applyFill="1" applyBorder="1" applyAlignment="1" applyProtection="1">
      <alignment horizontal="left" indent="2"/>
    </xf>
    <xf numFmtId="0" fontId="8" fillId="0" borderId="24" xfId="0" applyFont="1" applyFill="1" applyBorder="1" applyAlignment="1" applyProtection="1">
      <alignment horizontal="left" indent="2"/>
    </xf>
    <xf numFmtId="0" fontId="8" fillId="0" borderId="62" xfId="0" applyFont="1" applyFill="1" applyBorder="1" applyAlignment="1" applyProtection="1">
      <alignment horizontal="center"/>
    </xf>
    <xf numFmtId="0" fontId="21" fillId="0" borderId="0" xfId="0" applyFont="1" applyProtection="1"/>
    <xf numFmtId="0" fontId="20" fillId="2" borderId="0" xfId="0" applyFont="1" applyFill="1" applyProtection="1"/>
    <xf numFmtId="0" fontId="0" fillId="2" borderId="0" xfId="0" applyFill="1" applyProtection="1"/>
    <xf numFmtId="0" fontId="10" fillId="5" borderId="0" xfId="0" applyFont="1" applyFill="1"/>
    <xf numFmtId="2" fontId="10" fillId="5" borderId="0" xfId="0" applyNumberFormat="1" applyFont="1" applyFill="1" applyAlignment="1">
      <alignment horizontal="center"/>
    </xf>
    <xf numFmtId="0" fontId="22" fillId="0" borderId="0" xfId="0" applyFont="1"/>
    <xf numFmtId="43" fontId="0" fillId="0" borderId="0" xfId="0" applyNumberFormat="1"/>
    <xf numFmtId="0" fontId="25" fillId="0" borderId="6" xfId="0" applyFont="1" applyBorder="1" applyAlignment="1">
      <alignment horizontal="left" vertical="top"/>
    </xf>
    <xf numFmtId="0" fontId="25" fillId="0" borderId="6" xfId="0" applyFont="1" applyBorder="1" applyAlignment="1">
      <alignment horizontal="center" vertical="top"/>
    </xf>
    <xf numFmtId="0" fontId="2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 wrapText="1"/>
    </xf>
    <xf numFmtId="4" fontId="24" fillId="2" borderId="6" xfId="0" applyNumberFormat="1" applyFont="1" applyFill="1" applyBorder="1" applyAlignment="1">
      <alignment horizontal="center" vertical="center" shrinkToFit="1"/>
    </xf>
    <xf numFmtId="4" fontId="24" fillId="0" borderId="6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4" fontId="0" fillId="0" borderId="0" xfId="5" applyNumberFormat="1" applyFont="1" applyFill="1"/>
    <xf numFmtId="0" fontId="26" fillId="0" borderId="0" xfId="24"/>
    <xf numFmtId="0" fontId="3" fillId="2" borderId="0" xfId="0" applyFont="1" applyFill="1"/>
    <xf numFmtId="17" fontId="20" fillId="0" borderId="21" xfId="0" applyNumberFormat="1" applyFont="1" applyBorder="1"/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60" xfId="0" applyBorder="1"/>
    <xf numFmtId="0" fontId="0" fillId="0" borderId="10" xfId="0" applyBorder="1"/>
    <xf numFmtId="1" fontId="25" fillId="0" borderId="29" xfId="0" applyNumberFormat="1" applyFont="1" applyBorder="1" applyAlignment="1">
      <alignment horizontal="left" vertical="top"/>
    </xf>
    <xf numFmtId="0" fontId="5" fillId="0" borderId="23" xfId="0" applyFont="1" applyBorder="1" applyAlignment="1">
      <alignment wrapText="1"/>
    </xf>
    <xf numFmtId="0" fontId="5" fillId="0" borderId="23" xfId="0" applyFont="1" applyBorder="1" applyAlignment="1">
      <alignment horizontal="center" wrapText="1"/>
    </xf>
    <xf numFmtId="0" fontId="0" fillId="0" borderId="11" xfId="0" applyBorder="1"/>
    <xf numFmtId="4" fontId="24" fillId="2" borderId="23" xfId="0" applyNumberFormat="1" applyFont="1" applyFill="1" applyBorder="1" applyAlignment="1">
      <alignment horizontal="center" vertical="center" shrinkToFit="1"/>
    </xf>
    <xf numFmtId="0" fontId="3" fillId="4" borderId="0" xfId="0" applyFont="1" applyFill="1"/>
    <xf numFmtId="176" fontId="3" fillId="4" borderId="0" xfId="0" applyNumberFormat="1" applyFont="1" applyFill="1"/>
    <xf numFmtId="0" fontId="3" fillId="6" borderId="0" xfId="0" applyFont="1" applyFill="1"/>
    <xf numFmtId="176" fontId="3" fillId="6" borderId="0" xfId="0" applyNumberFormat="1" applyFont="1" applyFill="1"/>
    <xf numFmtId="4" fontId="24" fillId="6" borderId="6" xfId="0" applyNumberFormat="1" applyFont="1" applyFill="1" applyBorder="1" applyAlignment="1">
      <alignment horizontal="center" vertical="center" shrinkToFit="1"/>
    </xf>
    <xf numFmtId="4" fontId="24" fillId="4" borderId="6" xfId="0" applyNumberFormat="1" applyFont="1" applyFill="1" applyBorder="1" applyAlignment="1">
      <alignment horizontal="center" vertical="center" shrinkToFit="1"/>
    </xf>
    <xf numFmtId="4" fontId="24" fillId="7" borderId="6" xfId="0" applyNumberFormat="1" applyFont="1" applyFill="1" applyBorder="1" applyAlignment="1">
      <alignment horizontal="center" vertical="center" shrinkToFit="1"/>
    </xf>
    <xf numFmtId="4" fontId="24" fillId="4" borderId="23" xfId="0" applyNumberFormat="1" applyFont="1" applyFill="1" applyBorder="1" applyAlignment="1">
      <alignment horizontal="center" vertical="center" shrinkToFit="1"/>
    </xf>
    <xf numFmtId="4" fontId="24" fillId="8" borderId="6" xfId="0" applyNumberFormat="1" applyFont="1" applyFill="1" applyBorder="1" applyAlignment="1">
      <alignment horizontal="center" vertical="center" shrinkToFit="1"/>
    </xf>
    <xf numFmtId="4" fontId="24" fillId="8" borderId="23" xfId="0" applyNumberFormat="1" applyFont="1" applyFill="1" applyBorder="1" applyAlignment="1">
      <alignment horizontal="center" vertical="center" shrinkToFit="1"/>
    </xf>
    <xf numFmtId="1" fontId="24" fillId="2" borderId="29" xfId="0" applyNumberFormat="1" applyFont="1" applyFill="1" applyBorder="1" applyAlignment="1">
      <alignment shrinkToFit="1"/>
    </xf>
    <xf numFmtId="0" fontId="3" fillId="2" borderId="61" xfId="0" applyFont="1" applyFill="1" applyBorder="1" applyAlignment="1">
      <alignment horizontal="center" vertical="center" wrapText="1"/>
    </xf>
    <xf numFmtId="0" fontId="25" fillId="2" borderId="30" xfId="0" applyFont="1" applyFill="1" applyBorder="1" applyAlignment="1">
      <alignment horizontal="center" vertical="top" wrapText="1"/>
    </xf>
    <xf numFmtId="4" fontId="24" fillId="9" borderId="30" xfId="0" applyNumberFormat="1" applyFont="1" applyFill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top" wrapText="1"/>
    </xf>
    <xf numFmtId="164" fontId="0" fillId="0" borderId="0" xfId="2" applyFont="1"/>
    <xf numFmtId="164" fontId="0" fillId="0" borderId="7" xfId="2" applyFont="1" applyBorder="1"/>
    <xf numFmtId="164" fontId="0" fillId="0" borderId="38" xfId="2" applyFont="1" applyBorder="1"/>
    <xf numFmtId="164" fontId="0" fillId="0" borderId="28" xfId="2" applyFont="1" applyFill="1" applyBorder="1"/>
    <xf numFmtId="164" fontId="0" fillId="0" borderId="6" xfId="2" applyFont="1" applyFill="1" applyBorder="1"/>
    <xf numFmtId="164" fontId="24" fillId="8" borderId="6" xfId="2" applyFont="1" applyFill="1" applyBorder="1" applyAlignment="1">
      <alignment horizontal="center" vertical="center" shrinkToFit="1"/>
    </xf>
    <xf numFmtId="164" fontId="0" fillId="0" borderId="6" xfId="2" applyFont="1" applyBorder="1"/>
    <xf numFmtId="4" fontId="24" fillId="2" borderId="6" xfId="0" applyNumberFormat="1" applyFont="1" applyFill="1" applyBorder="1" applyAlignment="1">
      <alignment horizontal="right" vertical="top" shrinkToFit="1"/>
    </xf>
    <xf numFmtId="164" fontId="0" fillId="2" borderId="28" xfId="2" applyFont="1" applyFill="1" applyBorder="1"/>
    <xf numFmtId="1" fontId="24" fillId="2" borderId="24" xfId="0" applyNumberFormat="1" applyFont="1" applyFill="1" applyBorder="1" applyAlignment="1">
      <alignment shrinkToFit="1"/>
    </xf>
    <xf numFmtId="4" fontId="24" fillId="2" borderId="23" xfId="0" applyNumberFormat="1" applyFont="1" applyFill="1" applyBorder="1" applyAlignment="1">
      <alignment horizontal="right" vertical="top" shrinkToFit="1"/>
    </xf>
    <xf numFmtId="4" fontId="24" fillId="9" borderId="62" xfId="0" applyNumberFormat="1" applyFont="1" applyFill="1" applyBorder="1" applyAlignment="1">
      <alignment horizontal="center" vertical="center" shrinkToFit="1"/>
    </xf>
    <xf numFmtId="4" fontId="0" fillId="0" borderId="0" xfId="0" applyNumberFormat="1"/>
    <xf numFmtId="0" fontId="17" fillId="0" borderId="66" xfId="13" applyFont="1" applyBorder="1" applyAlignment="1">
      <alignment horizontal="center"/>
    </xf>
    <xf numFmtId="1" fontId="17" fillId="0" borderId="96" xfId="13" applyNumberFormat="1" applyFont="1" applyBorder="1" applyAlignment="1">
      <alignment horizontal="center"/>
    </xf>
    <xf numFmtId="0" fontId="16" fillId="0" borderId="67" xfId="13" applyFont="1" applyBorder="1"/>
    <xf numFmtId="0" fontId="17" fillId="0" borderId="67" xfId="13" applyFont="1" applyBorder="1" applyAlignment="1">
      <alignment textRotation="180"/>
    </xf>
    <xf numFmtId="172" fontId="16" fillId="0" borderId="68" xfId="13" applyNumberFormat="1" applyFont="1" applyBorder="1" applyAlignment="1">
      <alignment horizontal="center"/>
    </xf>
    <xf numFmtId="1" fontId="18" fillId="0" borderId="69" xfId="13" applyNumberFormat="1" applyFont="1" applyBorder="1" applyAlignment="1">
      <alignment horizontal="center"/>
    </xf>
    <xf numFmtId="49" fontId="18" fillId="0" borderId="97" xfId="13" applyNumberFormat="1" applyFont="1" applyBorder="1" applyAlignment="1">
      <alignment horizontal="center"/>
    </xf>
    <xf numFmtId="49" fontId="18" fillId="0" borderId="40" xfId="13" applyNumberFormat="1" applyFont="1" applyBorder="1" applyAlignment="1">
      <alignment horizontal="left"/>
    </xf>
    <xf numFmtId="0" fontId="19" fillId="0" borderId="6" xfId="13" applyFont="1" applyBorder="1"/>
    <xf numFmtId="0" fontId="18" fillId="0" borderId="40" xfId="13" applyFont="1" applyBorder="1" applyAlignment="1">
      <alignment horizontal="center"/>
    </xf>
    <xf numFmtId="0" fontId="18" fillId="0" borderId="28" xfId="13" applyFont="1" applyBorder="1" applyAlignment="1">
      <alignment horizontal="center"/>
    </xf>
    <xf numFmtId="1" fontId="18" fillId="0" borderId="6" xfId="13" applyNumberFormat="1" applyFont="1" applyBorder="1" applyAlignment="1">
      <alignment horizontal="center"/>
    </xf>
    <xf numFmtId="49" fontId="18" fillId="0" borderId="40" xfId="13" applyNumberFormat="1" applyFont="1" applyBorder="1" applyAlignment="1">
      <alignment horizontal="center"/>
    </xf>
    <xf numFmtId="0" fontId="18" fillId="0" borderId="6" xfId="13" applyFont="1" applyBorder="1" applyAlignment="1">
      <alignment horizontal="center"/>
    </xf>
    <xf numFmtId="0" fontId="18" fillId="0" borderId="38" xfId="13" applyFont="1" applyBorder="1" applyAlignment="1">
      <alignment horizontal="center"/>
    </xf>
    <xf numFmtId="0" fontId="17" fillId="0" borderId="98" xfId="13" applyFont="1" applyBorder="1" applyAlignment="1">
      <alignment horizontal="center"/>
    </xf>
    <xf numFmtId="1" fontId="17" fillId="0" borderId="99" xfId="13" applyNumberFormat="1" applyFont="1" applyBorder="1" applyAlignment="1">
      <alignment horizontal="center"/>
    </xf>
    <xf numFmtId="0" fontId="16" fillId="0" borderId="100" xfId="13" applyFont="1" applyBorder="1"/>
    <xf numFmtId="0" fontId="17" fillId="0" borderId="100" xfId="13" applyFont="1" applyBorder="1" applyAlignment="1">
      <alignment textRotation="180"/>
    </xf>
    <xf numFmtId="1" fontId="18" fillId="0" borderId="71" xfId="13" applyNumberFormat="1" applyFont="1" applyBorder="1" applyAlignment="1">
      <alignment horizontal="center"/>
    </xf>
    <xf numFmtId="1" fontId="18" fillId="0" borderId="31" xfId="13" applyNumberFormat="1" applyFont="1" applyBorder="1" applyAlignment="1">
      <alignment horizontal="center"/>
    </xf>
    <xf numFmtId="0" fontId="3" fillId="0" borderId="63" xfId="0" applyFont="1" applyBorder="1" applyAlignment="1">
      <alignment horizontal="centerContinuous" wrapText="1"/>
    </xf>
    <xf numFmtId="0" fontId="0" fillId="0" borderId="60" xfId="0" applyBorder="1" applyAlignment="1">
      <alignment horizontal="centerContinuous"/>
    </xf>
    <xf numFmtId="10" fontId="0" fillId="0" borderId="0" xfId="5" applyNumberFormat="1" applyFont="1"/>
    <xf numFmtId="4" fontId="24" fillId="0" borderId="30" xfId="0" applyNumberFormat="1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7" fillId="0" borderId="95" xfId="0" applyFont="1" applyBorder="1" applyAlignment="1">
      <alignment horizontal="left" vertical="center" wrapText="1"/>
    </xf>
    <xf numFmtId="0" fontId="23" fillId="0" borderId="95" xfId="0" applyFont="1" applyBorder="1" applyAlignment="1">
      <alignment horizontal="left" vertical="center" wrapText="1"/>
    </xf>
    <xf numFmtId="0" fontId="27" fillId="0" borderId="0" xfId="4" applyFont="1" applyAlignment="1">
      <alignment vertical="center"/>
    </xf>
    <xf numFmtId="49" fontId="3" fillId="0" borderId="21" xfId="4" applyNumberFormat="1" applyFont="1" applyBorder="1" applyAlignment="1">
      <alignment horizontal="left" vertical="center"/>
    </xf>
    <xf numFmtId="0" fontId="3" fillId="0" borderId="51" xfId="4" applyFont="1" applyBorder="1" applyAlignment="1" applyProtection="1">
      <alignment horizontal="left" vertical="center"/>
      <protection locked="0"/>
    </xf>
    <xf numFmtId="49" fontId="3" fillId="0" borderId="49" xfId="4" applyNumberFormat="1" applyFont="1" applyBorder="1" applyAlignment="1" applyProtection="1">
      <alignment horizontal="left" vertical="center"/>
      <protection locked="0"/>
    </xf>
    <xf numFmtId="0" fontId="3" fillId="0" borderId="20" xfId="4" applyFont="1" applyBorder="1" applyAlignment="1" applyProtection="1">
      <alignment horizontal="left" vertical="center"/>
      <protection locked="0"/>
    </xf>
    <xf numFmtId="0" fontId="3" fillId="0" borderId="45" xfId="4" applyFont="1" applyBorder="1" applyAlignment="1">
      <alignment horizontal="left" vertical="center"/>
    </xf>
    <xf numFmtId="49" fontId="3" fillId="0" borderId="45" xfId="4" applyNumberFormat="1" applyFont="1" applyBorder="1" applyAlignment="1" applyProtection="1">
      <alignment horizontal="center" vertical="center"/>
      <protection locked="0"/>
    </xf>
    <xf numFmtId="49" fontId="3" fillId="0" borderId="54" xfId="4" applyNumberFormat="1" applyFont="1" applyBorder="1" applyAlignment="1">
      <alignment horizontal="left" vertical="center"/>
    </xf>
    <xf numFmtId="0" fontId="3" fillId="0" borderId="55" xfId="4" applyFont="1" applyBorder="1" applyAlignment="1" applyProtection="1">
      <alignment horizontal="left" vertical="center"/>
      <protection locked="0"/>
    </xf>
    <xf numFmtId="49" fontId="3" fillId="0" borderId="56" xfId="4" applyNumberFormat="1" applyFont="1" applyBorder="1" applyAlignment="1" applyProtection="1">
      <alignment horizontal="left" vertical="center"/>
      <protection locked="0"/>
    </xf>
    <xf numFmtId="0" fontId="3" fillId="0" borderId="52" xfId="4" applyFont="1" applyBorder="1" applyAlignment="1" applyProtection="1">
      <alignment horizontal="left" vertical="center"/>
      <protection locked="0"/>
    </xf>
    <xf numFmtId="0" fontId="3" fillId="0" borderId="39" xfId="4" applyFont="1" applyBorder="1" applyAlignment="1">
      <alignment horizontal="left" vertical="center"/>
    </xf>
    <xf numFmtId="49" fontId="3" fillId="0" borderId="39" xfId="4" applyNumberFormat="1" applyFont="1" applyBorder="1" applyAlignment="1" applyProtection="1">
      <alignment horizontal="center" vertical="center"/>
      <protection locked="0"/>
    </xf>
    <xf numFmtId="49" fontId="3" fillId="0" borderId="16" xfId="4" applyNumberFormat="1" applyFont="1" applyBorder="1" applyAlignment="1">
      <alignment horizontal="left" vertical="center"/>
    </xf>
    <xf numFmtId="0" fontId="3" fillId="0" borderId="48" xfId="4" applyFont="1" applyBorder="1" applyAlignment="1" applyProtection="1">
      <alignment horizontal="left" vertical="center"/>
      <protection locked="0"/>
    </xf>
    <xf numFmtId="49" fontId="3" fillId="0" borderId="50" xfId="4" applyNumberFormat="1" applyFont="1" applyBorder="1" applyAlignment="1" applyProtection="1">
      <alignment horizontal="left" vertical="center"/>
      <protection locked="0"/>
    </xf>
    <xf numFmtId="0" fontId="3" fillId="0" borderId="11" xfId="4" applyFont="1" applyBorder="1" applyAlignment="1" applyProtection="1">
      <alignment horizontal="left" vertical="center"/>
      <protection locked="0"/>
    </xf>
    <xf numFmtId="0" fontId="3" fillId="0" borderId="17" xfId="4" applyFont="1" applyBorder="1" applyAlignment="1" applyProtection="1">
      <alignment horizontal="left" vertical="center"/>
      <protection locked="0"/>
    </xf>
    <xf numFmtId="49" fontId="3" fillId="0" borderId="12" xfId="4" applyNumberFormat="1" applyFont="1" applyBorder="1" applyAlignment="1">
      <alignment horizontal="center" vertical="center" wrapText="1"/>
    </xf>
    <xf numFmtId="49" fontId="3" fillId="0" borderId="18" xfId="4" applyNumberFormat="1" applyFont="1" applyBorder="1" applyAlignment="1">
      <alignment horizontal="center" vertical="center" wrapText="1"/>
    </xf>
    <xf numFmtId="0" fontId="3" fillId="0" borderId="13" xfId="4" applyFont="1" applyBorder="1" applyAlignment="1">
      <alignment horizontal="center" vertical="center" wrapText="1"/>
    </xf>
    <xf numFmtId="0" fontId="3" fillId="0" borderId="42" xfId="1" applyFont="1" applyBorder="1" applyAlignment="1">
      <alignment horizontal="center" vertical="center"/>
    </xf>
    <xf numFmtId="0" fontId="3" fillId="0" borderId="12" xfId="4" applyFont="1" applyBorder="1" applyAlignment="1">
      <alignment horizontal="centerContinuous" vertical="center" wrapText="1"/>
    </xf>
    <xf numFmtId="0" fontId="3" fillId="0" borderId="10" xfId="4" applyFont="1" applyBorder="1" applyAlignment="1">
      <alignment horizontal="centerContinuous" vertical="center"/>
    </xf>
    <xf numFmtId="0" fontId="3" fillId="0" borderId="13" xfId="4" applyFont="1" applyBorder="1" applyAlignment="1">
      <alignment horizontal="centerContinuous" vertical="center"/>
    </xf>
    <xf numFmtId="0" fontId="4" fillId="0" borderId="17" xfId="1" applyFont="1" applyBorder="1" applyAlignment="1">
      <alignment vertical="center"/>
    </xf>
    <xf numFmtId="2" fontId="4" fillId="0" borderId="43" xfId="1" applyNumberFormat="1" applyFont="1" applyBorder="1" applyAlignment="1">
      <alignment horizontal="center" vertical="center"/>
    </xf>
    <xf numFmtId="2" fontId="3" fillId="0" borderId="2" xfId="4" applyNumberFormat="1" applyFont="1" applyBorder="1" applyAlignment="1">
      <alignment horizontal="center" vertical="center"/>
    </xf>
    <xf numFmtId="2" fontId="3" fillId="0" borderId="32" xfId="4" applyNumberFormat="1" applyFont="1" applyBorder="1" applyAlignment="1">
      <alignment horizontal="center" vertical="center"/>
    </xf>
    <xf numFmtId="165" fontId="3" fillId="0" borderId="27" xfId="1" applyNumberFormat="1" applyFont="1" applyBorder="1" applyAlignment="1">
      <alignment horizontal="center" vertical="center"/>
    </xf>
    <xf numFmtId="165" fontId="3" fillId="0" borderId="27" xfId="1" applyNumberFormat="1" applyFont="1" applyBorder="1" applyAlignment="1">
      <alignment horizontal="center" vertical="center" wrapText="1"/>
    </xf>
    <xf numFmtId="49" fontId="3" fillId="0" borderId="16" xfId="4" applyNumberFormat="1" applyFont="1" applyBorder="1" applyAlignment="1">
      <alignment horizontal="center" vertical="center"/>
    </xf>
    <xf numFmtId="49" fontId="3" fillId="0" borderId="5" xfId="4" applyNumberFormat="1" applyFont="1" applyBorder="1" applyAlignment="1">
      <alignment horizontal="center" vertical="center"/>
    </xf>
    <xf numFmtId="4" fontId="3" fillId="0" borderId="25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/>
    </xf>
    <xf numFmtId="4" fontId="3" fillId="0" borderId="33" xfId="1" applyNumberFormat="1" applyFont="1" applyBorder="1" applyAlignment="1">
      <alignment vertical="center"/>
    </xf>
    <xf numFmtId="4" fontId="3" fillId="0" borderId="26" xfId="1" applyNumberFormat="1" applyFont="1" applyBorder="1" applyAlignment="1">
      <alignment vertical="center"/>
    </xf>
    <xf numFmtId="49" fontId="3" fillId="0" borderId="2" xfId="4" applyNumberFormat="1" applyFont="1" applyBorder="1" applyAlignment="1">
      <alignment horizontal="center" vertical="center"/>
    </xf>
    <xf numFmtId="49" fontId="3" fillId="0" borderId="32" xfId="4" applyNumberFormat="1" applyFont="1" applyBorder="1" applyAlignment="1">
      <alignment horizontal="center" vertical="center"/>
    </xf>
    <xf numFmtId="4" fontId="3" fillId="0" borderId="4" xfId="1" applyNumberFormat="1" applyFont="1" applyBorder="1" applyAlignment="1">
      <alignment vertical="center"/>
    </xf>
    <xf numFmtId="0" fontId="3" fillId="0" borderId="33" xfId="1" applyFont="1" applyBorder="1" applyAlignment="1">
      <alignment horizontal="left" vertical="center"/>
    </xf>
    <xf numFmtId="2" fontId="4" fillId="0" borderId="25" xfId="1" applyNumberFormat="1" applyFont="1" applyBorder="1" applyAlignment="1">
      <alignment horizontal="center" vertical="center"/>
    </xf>
    <xf numFmtId="4" fontId="3" fillId="0" borderId="3" xfId="4" applyNumberFormat="1" applyFont="1" applyBorder="1" applyAlignment="1">
      <alignment vertical="center"/>
    </xf>
    <xf numFmtId="4" fontId="3" fillId="0" borderId="33" xfId="4" applyNumberFormat="1" applyFont="1" applyBorder="1" applyAlignment="1">
      <alignment vertical="center"/>
    </xf>
    <xf numFmtId="49" fontId="14" fillId="0" borderId="3" xfId="4" applyNumberFormat="1" applyFont="1" applyBorder="1" applyAlignment="1">
      <alignment horizontal="centerContinuous" vertical="center"/>
    </xf>
    <xf numFmtId="0" fontId="4" fillId="0" borderId="0" xfId="4" applyFont="1" applyAlignment="1">
      <alignment vertical="center"/>
    </xf>
    <xf numFmtId="0" fontId="4" fillId="0" borderId="16" xfId="4" quotePrefix="1" applyFont="1" applyBorder="1" applyAlignment="1">
      <alignment horizontal="left" vertical="center"/>
    </xf>
    <xf numFmtId="0" fontId="4" fillId="0" borderId="22" xfId="4" applyFont="1" applyBorder="1" applyAlignment="1">
      <alignment horizontal="center" vertical="center"/>
    </xf>
    <xf numFmtId="0" fontId="3" fillId="0" borderId="17" xfId="4" applyFont="1" applyBorder="1" applyAlignment="1">
      <alignment vertical="center" wrapText="1"/>
    </xf>
    <xf numFmtId="0" fontId="4" fillId="0" borderId="29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46" xfId="1" applyFont="1" applyBorder="1" applyAlignment="1">
      <alignment vertical="center" wrapText="1"/>
    </xf>
    <xf numFmtId="2" fontId="4" fillId="0" borderId="30" xfId="1" applyNumberFormat="1" applyFont="1" applyBorder="1" applyAlignment="1">
      <alignment horizontal="center" vertical="center"/>
    </xf>
    <xf numFmtId="4" fontId="4" fillId="0" borderId="29" xfId="4" applyNumberFormat="1" applyFont="1" applyBorder="1" applyAlignment="1" applyProtection="1">
      <alignment vertical="center"/>
      <protection locked="0"/>
    </xf>
    <xf numFmtId="4" fontId="4" fillId="0" borderId="6" xfId="4" applyNumberFormat="1" applyFont="1" applyBorder="1" applyAlignment="1" applyProtection="1">
      <alignment vertical="center"/>
      <protection locked="0"/>
    </xf>
    <xf numFmtId="4" fontId="4" fillId="0" borderId="30" xfId="1" applyNumberFormat="1" applyFont="1" applyBorder="1" applyAlignment="1">
      <alignment vertical="center"/>
    </xf>
    <xf numFmtId="4" fontId="4" fillId="0" borderId="4" xfId="1" applyNumberFormat="1" applyFont="1" applyBorder="1" applyAlignment="1">
      <alignment vertical="center"/>
    </xf>
    <xf numFmtId="0" fontId="3" fillId="0" borderId="33" xfId="4" applyFont="1" applyBorder="1" applyAlignment="1">
      <alignment vertical="center" wrapText="1"/>
    </xf>
    <xf numFmtId="4" fontId="4" fillId="0" borderId="28" xfId="4" applyNumberFormat="1" applyFont="1" applyBorder="1" applyAlignment="1" applyProtection="1">
      <alignment vertical="center"/>
      <protection locked="0"/>
    </xf>
    <xf numFmtId="49" fontId="4" fillId="0" borderId="29" xfId="4" quotePrefix="1" applyNumberFormat="1" applyFont="1" applyBorder="1" applyAlignment="1" applyProtection="1">
      <alignment horizontal="center" vertical="center"/>
      <protection locked="0"/>
    </xf>
    <xf numFmtId="49" fontId="4" fillId="0" borderId="6" xfId="4" quotePrefix="1" applyNumberFormat="1" applyFont="1" applyBorder="1" applyAlignment="1" applyProtection="1">
      <alignment horizontal="center" vertical="center"/>
      <protection locked="0"/>
    </xf>
    <xf numFmtId="0" fontId="4" fillId="0" borderId="30" xfId="4" applyFont="1" applyBorder="1" applyAlignment="1" applyProtection="1">
      <alignment horizontal="left" vertical="center" wrapText="1"/>
      <protection locked="0"/>
    </xf>
    <xf numFmtId="0" fontId="4" fillId="0" borderId="3" xfId="4" applyFont="1" applyBorder="1" applyAlignment="1">
      <alignment vertical="center"/>
    </xf>
    <xf numFmtId="0" fontId="4" fillId="0" borderId="25" xfId="4" applyFont="1" applyBorder="1" applyAlignment="1">
      <alignment vertical="center"/>
    </xf>
    <xf numFmtId="0" fontId="4" fillId="0" borderId="0" xfId="4" quotePrefix="1" applyFont="1" applyAlignment="1">
      <alignment vertical="center"/>
    </xf>
    <xf numFmtId="0" fontId="4" fillId="0" borderId="0" xfId="4" applyFont="1" applyAlignment="1">
      <alignment horizontal="left" vertical="center"/>
    </xf>
    <xf numFmtId="49" fontId="27" fillId="0" borderId="25" xfId="4" applyNumberFormat="1" applyFont="1" applyBorder="1" applyAlignment="1">
      <alignment horizontal="centerContinuous" vertical="center"/>
    </xf>
    <xf numFmtId="0" fontId="27" fillId="0" borderId="25" xfId="4" applyFont="1" applyBorder="1" applyAlignment="1">
      <alignment horizontal="centerContinuous" vertical="center"/>
    </xf>
    <xf numFmtId="0" fontId="27" fillId="0" borderId="33" xfId="4" applyFont="1" applyBorder="1" applyAlignment="1">
      <alignment horizontal="centerContinuous" vertical="center"/>
    </xf>
  </cellXfs>
  <cellStyles count="25">
    <cellStyle name="Hiperlink" xfId="24" builtinId="8"/>
    <cellStyle name="Normal" xfId="0" builtinId="0"/>
    <cellStyle name="Normal 2" xfId="4" xr:uid="{00000000-0005-0000-0000-000001000000}"/>
    <cellStyle name="Normal 2 2" xfId="19" xr:uid="{ECB696E2-25FB-4473-B081-27B8161250D9}"/>
    <cellStyle name="Normal 3" xfId="7" xr:uid="{00000000-0005-0000-0000-000002000000}"/>
    <cellStyle name="Normal 3 2" xfId="6" xr:uid="{00000000-0005-0000-0000-000003000000}"/>
    <cellStyle name="Normal 3 3" xfId="13" xr:uid="{00000000-0005-0000-0000-000004000000}"/>
    <cellStyle name="Normal 3 4" xfId="10" xr:uid="{00000000-0005-0000-0000-000005000000}"/>
    <cellStyle name="Normal 4" xfId="17" xr:uid="{D97A6843-BF6A-4D2B-8C8E-A7F111332292}"/>
    <cellStyle name="Normal 4 2" xfId="21" xr:uid="{0BB73F46-5D29-4C87-B017-99224B7A7007}"/>
    <cellStyle name="Normal 4 3" xfId="20" xr:uid="{37EA7FB2-22DA-4804-AB56-3561157862FE}"/>
    <cellStyle name="Normal 5" xfId="22" xr:uid="{369AB456-C355-42EA-961F-E7CF5652E09B}"/>
    <cellStyle name="Normal 6" xfId="18" xr:uid="{B989E60C-3513-4223-9F34-0B60B8021A6F}"/>
    <cellStyle name="Normal_ORÇAMENTO" xfId="1" xr:uid="{00000000-0005-0000-0000-000006000000}"/>
    <cellStyle name="Porcentagem" xfId="3" builtinId="5"/>
    <cellStyle name="Porcentagem 2" xfId="5" xr:uid="{00000000-0005-0000-0000-000009000000}"/>
    <cellStyle name="Porcentagem 2 2" xfId="23" xr:uid="{09E87D33-4D9F-4810-9825-20A327824090}"/>
    <cellStyle name="Porcentagem 3" xfId="16" xr:uid="{22B45934-657F-4C4D-826C-FAA67E1BFC93}"/>
    <cellStyle name="Vírgula" xfId="2" builtinId="3"/>
    <cellStyle name="Vírgula 2" xfId="8" xr:uid="{00000000-0005-0000-0000-00000B000000}"/>
    <cellStyle name="Vírgula 2 2" xfId="14" xr:uid="{00000000-0005-0000-0000-00000C000000}"/>
    <cellStyle name="Vírgula 2 3" xfId="11" xr:uid="{00000000-0005-0000-0000-00000D000000}"/>
    <cellStyle name="Vírgula 3" xfId="12" xr:uid="{00000000-0005-0000-0000-00000E000000}"/>
    <cellStyle name="Vírgula 4" xfId="9" xr:uid="{00000000-0005-0000-0000-00000F000000}"/>
    <cellStyle name="Vírgula 5" xfId="15" xr:uid="{413EA061-10DD-4953-B4D5-AF5325160EE2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uy\_01%20Reequil&#237;brio%20-%20arquivos%20revisados\Realinamento%20SET%202017-INCC-mensal%20ANP-DNIT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C"/>
      <sheetName val="ANP após 2015"/>
      <sheetName val="percentuais por insumo"/>
      <sheetName val="TESTE"/>
      <sheetName val="proposta"/>
      <sheetName val="2017 SEM"/>
      <sheetName val="R1"/>
      <sheetName val="R2"/>
      <sheetName val="R3"/>
      <sheetName val="R4"/>
      <sheetName val="R5"/>
      <sheetName val="R6"/>
      <sheetName val="R7"/>
      <sheetName val="R8 saldo"/>
      <sheetName val="SOMA"/>
      <sheetName val="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v.br/anp/pt-br/assuntos/precos-e-defesa-da-concorrencia/precos/precos-de-produtores-e-importadores-de-derivados-de-petroleo" TargetMode="External"/><Relationship Id="rId1" Type="http://schemas.openxmlformats.org/officeDocument/2006/relationships/hyperlink" Target="https://www.gov.br/anp/pt-br/assuntos/precos-e-defesa-da-concorrencia/precos/precos-de-distribuicao-de-produtos-asfaltico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9C225-F7C6-4E9B-B1F9-D6081FFD9BE8}">
  <dimension ref="A1:Z65"/>
  <sheetViews>
    <sheetView workbookViewId="0">
      <selection activeCell="J3" sqref="J3"/>
    </sheetView>
  </sheetViews>
  <sheetFormatPr defaultRowHeight="11.25" x14ac:dyDescent="0.2"/>
  <cols>
    <col min="1" max="1" width="22" customWidth="1"/>
    <col min="2" max="2" width="49" bestFit="1" customWidth="1"/>
    <col min="3" max="3" width="9.5" style="199" hidden="1" customWidth="1"/>
    <col min="4" max="4" width="10.5" hidden="1" customWidth="1"/>
    <col min="5" max="5" width="3.83203125" hidden="1" customWidth="1"/>
    <col min="6" max="6" width="11.1640625" style="2" hidden="1" customWidth="1"/>
    <col min="7" max="7" width="14" style="2" hidden="1" customWidth="1"/>
    <col min="8" max="8" width="11.1640625" style="2" customWidth="1"/>
    <col min="9" max="9" width="14" style="2" customWidth="1"/>
    <col min="10" max="10" width="11.1640625" style="2" customWidth="1"/>
    <col min="11" max="11" width="14" style="2" customWidth="1"/>
    <col min="12" max="13" width="10.5" style="2" customWidth="1"/>
    <col min="14" max="14" width="2.1640625" style="2" customWidth="1"/>
    <col min="15" max="15" width="18.33203125" bestFit="1" customWidth="1"/>
    <col min="16" max="16" width="14.5" hidden="1" customWidth="1"/>
    <col min="17" max="17" width="9.6640625" style="199" hidden="1" customWidth="1"/>
    <col min="18" max="18" width="18.33203125" hidden="1" customWidth="1"/>
    <col min="19" max="19" width="18.33203125" customWidth="1"/>
    <col min="20" max="20" width="11" style="233" customWidth="1"/>
    <col min="21" max="23" width="9.1640625" style="233" customWidth="1"/>
    <col min="24" max="25" width="9.1640625" customWidth="1"/>
    <col min="26" max="26" width="12.6640625" customWidth="1"/>
    <col min="27" max="27" width="9.1640625" customWidth="1"/>
  </cols>
  <sheetData>
    <row r="1" spans="1:26" x14ac:dyDescent="0.2">
      <c r="F1"/>
      <c r="G1"/>
      <c r="H1"/>
      <c r="I1"/>
      <c r="J1"/>
      <c r="K1"/>
      <c r="L1"/>
      <c r="M1"/>
      <c r="N1"/>
      <c r="T1"/>
      <c r="X1" s="233"/>
    </row>
    <row r="2" spans="1:26" x14ac:dyDescent="0.2">
      <c r="F2"/>
      <c r="G2"/>
      <c r="H2"/>
      <c r="I2"/>
      <c r="J2"/>
      <c r="K2"/>
      <c r="L2"/>
      <c r="M2"/>
      <c r="N2"/>
      <c r="T2"/>
      <c r="X2" s="233"/>
    </row>
    <row r="3" spans="1:26" ht="15" x14ac:dyDescent="0.2">
      <c r="A3" s="193" t="s">
        <v>234</v>
      </c>
      <c r="F3"/>
      <c r="G3"/>
      <c r="H3"/>
      <c r="I3"/>
      <c r="J3"/>
      <c r="K3"/>
      <c r="L3"/>
      <c r="M3"/>
      <c r="N3"/>
      <c r="T3"/>
      <c r="X3" s="233"/>
    </row>
    <row r="4" spans="1:26" ht="15" x14ac:dyDescent="0.2">
      <c r="A4" s="193"/>
      <c r="F4"/>
      <c r="G4"/>
      <c r="H4"/>
      <c r="I4"/>
      <c r="J4"/>
      <c r="K4"/>
      <c r="L4"/>
      <c r="M4"/>
      <c r="N4"/>
      <c r="T4"/>
      <c r="X4" s="233"/>
    </row>
    <row r="5" spans="1:26" x14ac:dyDescent="0.2">
      <c r="F5"/>
      <c r="G5"/>
      <c r="H5"/>
      <c r="I5"/>
      <c r="J5"/>
      <c r="K5"/>
      <c r="L5"/>
      <c r="M5"/>
      <c r="N5"/>
      <c r="O5" s="205"/>
      <c r="T5"/>
      <c r="X5" s="233"/>
    </row>
    <row r="6" spans="1:26" ht="15" x14ac:dyDescent="0.2">
      <c r="A6" s="193"/>
      <c r="F6"/>
      <c r="G6"/>
      <c r="H6"/>
      <c r="I6"/>
      <c r="J6"/>
      <c r="K6"/>
      <c r="L6"/>
      <c r="M6"/>
      <c r="N6"/>
      <c r="O6" s="207" t="s">
        <v>264</v>
      </c>
      <c r="P6" s="207" t="s">
        <v>268</v>
      </c>
      <c r="R6" s="206" t="s">
        <v>266</v>
      </c>
      <c r="T6"/>
      <c r="X6" s="233"/>
    </row>
    <row r="7" spans="1:26" x14ac:dyDescent="0.2">
      <c r="F7"/>
      <c r="G7"/>
      <c r="H7"/>
      <c r="I7"/>
      <c r="J7"/>
      <c r="K7"/>
      <c r="L7"/>
      <c r="M7"/>
      <c r="N7"/>
      <c r="O7" s="218" t="s">
        <v>265</v>
      </c>
      <c r="P7" s="219" t="s">
        <v>269</v>
      </c>
      <c r="R7" s="206" t="s">
        <v>267</v>
      </c>
      <c r="T7"/>
      <c r="X7" s="233"/>
    </row>
    <row r="8" spans="1:26" ht="13.15" customHeight="1" x14ac:dyDescent="0.2">
      <c r="A8" s="272" t="s">
        <v>235</v>
      </c>
      <c r="B8" s="273"/>
      <c r="F8"/>
      <c r="G8"/>
      <c r="H8"/>
      <c r="I8"/>
      <c r="J8"/>
      <c r="K8"/>
      <c r="L8"/>
      <c r="M8"/>
      <c r="N8"/>
      <c r="O8" s="220" t="s">
        <v>270</v>
      </c>
      <c r="P8" s="221" t="s">
        <v>271</v>
      </c>
      <c r="T8"/>
      <c r="X8" s="233"/>
    </row>
    <row r="9" spans="1:26" ht="13.15" customHeight="1" thickBot="1" x14ac:dyDescent="0.25">
      <c r="B9" s="194"/>
      <c r="F9"/>
      <c r="G9"/>
      <c r="H9" s="50"/>
      <c r="I9"/>
      <c r="J9"/>
      <c r="K9"/>
      <c r="L9"/>
      <c r="M9"/>
      <c r="N9"/>
      <c r="T9"/>
      <c r="X9" s="233"/>
    </row>
    <row r="10" spans="1:26" ht="34.9" customHeight="1" x14ac:dyDescent="0.35">
      <c r="A10" s="208" t="s">
        <v>252</v>
      </c>
      <c r="B10" s="209"/>
      <c r="C10" s="210"/>
      <c r="D10" s="211"/>
      <c r="E10" s="212"/>
      <c r="F10" s="267" t="s">
        <v>300</v>
      </c>
      <c r="G10" s="268"/>
      <c r="H10" s="267" t="s">
        <v>301</v>
      </c>
      <c r="I10" s="268"/>
      <c r="J10" s="267" t="s">
        <v>302</v>
      </c>
      <c r="K10" s="268"/>
      <c r="L10" s="267" t="s">
        <v>303</v>
      </c>
      <c r="M10" s="268"/>
      <c r="N10" s="212"/>
      <c r="O10" s="229" t="s">
        <v>259</v>
      </c>
      <c r="T10"/>
      <c r="X10" s="233"/>
    </row>
    <row r="11" spans="1:26" ht="67.150000000000006" customHeight="1" x14ac:dyDescent="0.2">
      <c r="A11" s="213" t="s">
        <v>249</v>
      </c>
      <c r="B11" s="195" t="s">
        <v>250</v>
      </c>
      <c r="C11" s="196" t="s">
        <v>251</v>
      </c>
      <c r="D11" s="197" t="s">
        <v>260</v>
      </c>
      <c r="F11" s="197" t="s">
        <v>261</v>
      </c>
      <c r="G11" s="197" t="s">
        <v>253</v>
      </c>
      <c r="H11" s="197" t="s">
        <v>261</v>
      </c>
      <c r="I11" s="197" t="s">
        <v>253</v>
      </c>
      <c r="J11" s="197" t="s">
        <v>261</v>
      </c>
      <c r="K11" s="197" t="s">
        <v>253</v>
      </c>
      <c r="L11" s="197" t="s">
        <v>288</v>
      </c>
      <c r="M11" s="197" t="s">
        <v>289</v>
      </c>
      <c r="N11"/>
      <c r="O11" s="230" t="s">
        <v>304</v>
      </c>
      <c r="R11" s="197" t="s">
        <v>263</v>
      </c>
      <c r="S11" s="232" t="s">
        <v>262</v>
      </c>
      <c r="T11" s="232" t="s">
        <v>299</v>
      </c>
      <c r="U11" s="234" t="s">
        <v>290</v>
      </c>
      <c r="V11" s="235"/>
      <c r="W11" s="234" t="s">
        <v>291</v>
      </c>
      <c r="X11" s="235"/>
    </row>
    <row r="12" spans="1:26" ht="12.75" x14ac:dyDescent="0.2">
      <c r="A12" s="228">
        <v>589100</v>
      </c>
      <c r="B12" s="198" t="s">
        <v>236</v>
      </c>
      <c r="C12" s="200" t="s">
        <v>237</v>
      </c>
      <c r="D12" s="240">
        <v>5022.5</v>
      </c>
      <c r="F12" s="201">
        <v>5183.34</v>
      </c>
      <c r="G12" s="201">
        <f>ROUND(F12/(1-21.65%),2)</f>
        <v>6615.62</v>
      </c>
      <c r="H12" s="223">
        <v>5204.42</v>
      </c>
      <c r="I12" s="223">
        <f>ROUND(H12/(1-21.65%),2)</f>
        <v>6642.53</v>
      </c>
      <c r="J12" s="222">
        <v>5174.53</v>
      </c>
      <c r="K12" s="222">
        <f>ROUND(J12/(1-21.65%),2)</f>
        <v>6604.38</v>
      </c>
      <c r="L12" s="201">
        <f>ROUND(7525*1.0365,2)</f>
        <v>7799.66</v>
      </c>
      <c r="M12" s="201">
        <f>ROUND(6860*1.18,2)</f>
        <v>8094.8</v>
      </c>
      <c r="N12" s="203"/>
      <c r="O12" s="231">
        <f>I12</f>
        <v>6642.53</v>
      </c>
      <c r="P12" s="203">
        <f>IF(D12=0,"",O12/D12)</f>
        <v>1.3225545047287206</v>
      </c>
      <c r="Q12" s="203" t="s">
        <v>265</v>
      </c>
      <c r="R12" s="202">
        <v>6100.3</v>
      </c>
      <c r="S12" s="202">
        <v>5774.08</v>
      </c>
      <c r="T12" s="202">
        <v>6024.25</v>
      </c>
      <c r="U12" s="236"/>
      <c r="V12" s="241"/>
      <c r="W12" s="237"/>
      <c r="X12" s="237"/>
      <c r="Y12" s="245"/>
      <c r="Z12" s="269"/>
    </row>
    <row r="13" spans="1:26" ht="25.5" x14ac:dyDescent="0.2">
      <c r="A13" s="228"/>
      <c r="B13" s="198" t="s">
        <v>285</v>
      </c>
      <c r="C13" s="200" t="s">
        <v>237</v>
      </c>
      <c r="D13" s="240"/>
      <c r="F13" s="226"/>
      <c r="G13" s="226"/>
      <c r="H13" s="226"/>
      <c r="I13" s="226"/>
      <c r="J13" s="202">
        <v>3694.42</v>
      </c>
      <c r="K13" s="202">
        <f>ROUND(J13/(1-21.65%),2)</f>
        <v>4715.28</v>
      </c>
      <c r="L13" s="202"/>
      <c r="M13" s="202"/>
      <c r="N13" s="203"/>
      <c r="O13" s="231">
        <f>SMALL((G13,I13,L13,K13,M13),1)</f>
        <v>4715.28</v>
      </c>
      <c r="P13" s="203" t="str">
        <f t="shared" ref="P13:P33" si="0">IF(D13=0,"",O13/D13)</f>
        <v/>
      </c>
      <c r="Q13" s="203" t="s">
        <v>270</v>
      </c>
      <c r="R13" s="202"/>
      <c r="S13" s="202"/>
      <c r="T13" s="202"/>
      <c r="U13" s="237"/>
      <c r="V13" s="238"/>
      <c r="W13" s="238"/>
      <c r="X13" s="238"/>
      <c r="Y13" s="245"/>
      <c r="Z13" s="269"/>
    </row>
    <row r="14" spans="1:26" ht="25.5" x14ac:dyDescent="0.2">
      <c r="A14" s="228">
        <v>589050</v>
      </c>
      <c r="B14" s="198" t="s">
        <v>272</v>
      </c>
      <c r="C14" s="200" t="s">
        <v>237</v>
      </c>
      <c r="D14" s="240">
        <v>3788.14</v>
      </c>
      <c r="F14" s="226"/>
      <c r="G14" s="226"/>
      <c r="H14" s="223">
        <v>4607.38</v>
      </c>
      <c r="I14" s="223">
        <f>ROUND(H14/(1-21.65%),2)</f>
        <v>5880.51</v>
      </c>
      <c r="J14" s="222">
        <v>4621.25</v>
      </c>
      <c r="K14" s="222">
        <f>ROUND(J14/(1-21.65%),2)</f>
        <v>5898.21</v>
      </c>
      <c r="L14" s="201">
        <f>ROUND(5608*1.0365,2)</f>
        <v>5812.69</v>
      </c>
      <c r="M14" s="201">
        <f>ROUND(5020*1.18,2)</f>
        <v>5923.6</v>
      </c>
      <c r="N14" s="203"/>
      <c r="O14" s="231">
        <f>SMALL((G14,I14,K14,M14),1)</f>
        <v>5880.51</v>
      </c>
      <c r="P14" s="203">
        <f t="shared" si="0"/>
        <v>1.5523475901101862</v>
      </c>
      <c r="Q14" s="203" t="s">
        <v>265</v>
      </c>
      <c r="R14" s="202">
        <v>5316</v>
      </c>
      <c r="S14" s="202">
        <v>4986.3100000000004</v>
      </c>
      <c r="T14" s="202">
        <v>5367.12</v>
      </c>
      <c r="U14" s="237"/>
      <c r="V14" s="237"/>
      <c r="W14" s="239"/>
      <c r="X14" s="241"/>
      <c r="Y14" s="245"/>
      <c r="Z14" s="269"/>
    </row>
    <row r="15" spans="1:26" ht="12.75" x14ac:dyDescent="0.2">
      <c r="A15" s="228">
        <v>589070</v>
      </c>
      <c r="B15" s="198" t="s">
        <v>238</v>
      </c>
      <c r="C15" s="200" t="s">
        <v>237</v>
      </c>
      <c r="D15" s="240">
        <v>4130.03</v>
      </c>
      <c r="F15" s="226"/>
      <c r="G15" s="226"/>
      <c r="H15" s="226"/>
      <c r="I15" s="226"/>
      <c r="J15" s="222">
        <v>4735.42</v>
      </c>
      <c r="K15" s="222">
        <f>ROUND(J15/(1-21.65%),2)</f>
        <v>6043.93</v>
      </c>
      <c r="L15" s="201">
        <f>ROUND(5829*1.0365,2)</f>
        <v>6041.76</v>
      </c>
      <c r="M15" s="201">
        <f>ROUND(5170*1.18,2)</f>
        <v>6100.6</v>
      </c>
      <c r="N15" s="203"/>
      <c r="O15" s="231">
        <f>SMALL((G15,I15,K15,M15),1)</f>
        <v>6043.93</v>
      </c>
      <c r="P15" s="203">
        <f t="shared" si="0"/>
        <v>1.4634106774042805</v>
      </c>
      <c r="Q15" s="203" t="s">
        <v>270</v>
      </c>
      <c r="R15" s="202"/>
      <c r="S15" s="202">
        <v>4453.4399999999996</v>
      </c>
      <c r="T15" s="202">
        <v>5106.25</v>
      </c>
      <c r="U15" s="237"/>
      <c r="V15" s="237"/>
      <c r="W15" s="239"/>
      <c r="X15" s="241"/>
      <c r="Y15" s="245"/>
      <c r="Z15" s="269"/>
    </row>
    <row r="16" spans="1:26" ht="12.75" x14ac:dyDescent="0.2">
      <c r="A16" s="228">
        <v>589000</v>
      </c>
      <c r="B16" s="198" t="s">
        <v>239</v>
      </c>
      <c r="C16" s="200" t="s">
        <v>237</v>
      </c>
      <c r="D16" s="240">
        <v>3340.63</v>
      </c>
      <c r="F16" s="201">
        <v>4205.01</v>
      </c>
      <c r="G16" s="201">
        <f>ROUND(F16/(1-21.65%),2)</f>
        <v>5366.96</v>
      </c>
      <c r="H16" s="223">
        <v>4010.65</v>
      </c>
      <c r="I16" s="223">
        <f>ROUND(H16/(1-21.65%),2)</f>
        <v>5118.8900000000003</v>
      </c>
      <c r="J16" s="222">
        <v>4006.72</v>
      </c>
      <c r="K16" s="222">
        <f>ROUND(J16/(1-21.65%),2)</f>
        <v>5113.87</v>
      </c>
      <c r="L16" s="201">
        <f>ROUND(6026*1.0365,2)</f>
        <v>6245.95</v>
      </c>
      <c r="M16" s="201"/>
      <c r="N16" s="203"/>
      <c r="O16" s="231">
        <f>I16</f>
        <v>5118.8900000000003</v>
      </c>
      <c r="P16" s="203">
        <f t="shared" si="0"/>
        <v>1.5323127673522658</v>
      </c>
      <c r="Q16" s="203" t="s">
        <v>265</v>
      </c>
      <c r="R16" s="202">
        <v>4708.6000000000004</v>
      </c>
      <c r="S16" s="202">
        <v>4434.49</v>
      </c>
      <c r="T16" s="202">
        <v>4718.0200000000004</v>
      </c>
      <c r="U16" s="237"/>
      <c r="V16" s="237"/>
      <c r="W16" s="239"/>
      <c r="X16" s="241"/>
      <c r="Y16" s="245"/>
      <c r="Z16" s="269"/>
    </row>
    <row r="17" spans="1:26" ht="25.5" x14ac:dyDescent="0.2">
      <c r="A17" s="228">
        <v>589030</v>
      </c>
      <c r="B17" s="198" t="s">
        <v>292</v>
      </c>
      <c r="C17" s="200" t="s">
        <v>237</v>
      </c>
      <c r="D17" s="240">
        <v>3932.27</v>
      </c>
      <c r="F17" s="226"/>
      <c r="G17" s="226"/>
      <c r="H17" s="226"/>
      <c r="I17" s="226"/>
      <c r="J17" s="222">
        <v>4970.37</v>
      </c>
      <c r="K17" s="222">
        <f t="shared" ref="K17:K19" si="1">ROUND(J17/(1-21.65%),2)</f>
        <v>6343.8</v>
      </c>
      <c r="L17" s="201">
        <f>ROUND(7233*1.0365,2)</f>
        <v>7497</v>
      </c>
      <c r="M17" s="201">
        <f>ROUND(6320*1.18,2)</f>
        <v>7457.6</v>
      </c>
      <c r="N17" s="203"/>
      <c r="O17" s="231">
        <f>SMALL((G17,I17,L17,K17,M17),1)</f>
        <v>6343.8</v>
      </c>
      <c r="P17" s="203">
        <f t="shared" si="0"/>
        <v>1.6132666373367037</v>
      </c>
      <c r="Q17" s="203" t="s">
        <v>270</v>
      </c>
      <c r="R17" s="202"/>
      <c r="S17" s="202">
        <v>3898.29</v>
      </c>
      <c r="T17" s="202">
        <v>5841.48</v>
      </c>
      <c r="U17" s="237"/>
      <c r="V17" s="237"/>
      <c r="W17" s="239"/>
      <c r="X17" s="241"/>
      <c r="Y17" s="245"/>
      <c r="Z17" s="269"/>
    </row>
    <row r="18" spans="1:26" ht="25.5" x14ac:dyDescent="0.2">
      <c r="A18" s="228">
        <v>589040</v>
      </c>
      <c r="B18" s="198" t="s">
        <v>293</v>
      </c>
      <c r="C18" s="200" t="s">
        <v>237</v>
      </c>
      <c r="D18" s="240">
        <v>4296.93</v>
      </c>
      <c r="F18" s="226"/>
      <c r="G18" s="226"/>
      <c r="H18" s="223">
        <v>4748.75</v>
      </c>
      <c r="I18" s="223">
        <f>ROUND(H18/(1-21.65%),2)</f>
        <v>6060.94</v>
      </c>
      <c r="J18" s="222">
        <v>4189.08</v>
      </c>
      <c r="K18" s="222">
        <f t="shared" si="1"/>
        <v>5346.62</v>
      </c>
      <c r="L18" s="201">
        <f>ROUND(7371*1.0365,2)</f>
        <v>7640.04</v>
      </c>
      <c r="M18" s="201">
        <f>ROUND(6598*1.18,2)</f>
        <v>7785.64</v>
      </c>
      <c r="N18" s="203"/>
      <c r="O18" s="231">
        <f>I18</f>
        <v>6060.94</v>
      </c>
      <c r="P18" s="203">
        <f t="shared" si="0"/>
        <v>1.4105279816054717</v>
      </c>
      <c r="Q18" s="204" t="s">
        <v>265</v>
      </c>
      <c r="R18" s="202"/>
      <c r="S18" s="202">
        <v>5182.78</v>
      </c>
      <c r="T18" s="202">
        <v>5188.97</v>
      </c>
      <c r="U18" s="237"/>
      <c r="V18" s="237"/>
      <c r="W18" s="239"/>
      <c r="X18" s="241"/>
      <c r="Y18" s="245"/>
      <c r="Z18" s="269"/>
    </row>
    <row r="19" spans="1:26" ht="25.5" x14ac:dyDescent="0.2">
      <c r="A19" s="228">
        <v>589060</v>
      </c>
      <c r="B19" s="198" t="s">
        <v>294</v>
      </c>
      <c r="C19" s="200" t="s">
        <v>237</v>
      </c>
      <c r="D19" s="240">
        <v>4032.87</v>
      </c>
      <c r="F19" s="226"/>
      <c r="G19" s="226"/>
      <c r="H19" s="226"/>
      <c r="I19" s="226"/>
      <c r="J19" s="222">
        <v>4822.63</v>
      </c>
      <c r="K19" s="222">
        <f t="shared" si="1"/>
        <v>6155.24</v>
      </c>
      <c r="L19" s="201">
        <f>ROUND(7514*1.0365,2)</f>
        <v>7788.26</v>
      </c>
      <c r="M19" s="201">
        <f>ROUND(6860*1.18,2)</f>
        <v>8094.8</v>
      </c>
      <c r="N19" s="203"/>
      <c r="O19" s="231">
        <f>SMALL((G19,I19,L19,K19,M19),1)</f>
        <v>6155.24</v>
      </c>
      <c r="P19" s="203">
        <f t="shared" si="0"/>
        <v>1.5262678935844696</v>
      </c>
      <c r="Q19" s="203" t="s">
        <v>270</v>
      </c>
      <c r="R19" s="202"/>
      <c r="S19" s="202">
        <v>4864.28</v>
      </c>
      <c r="T19" s="202">
        <v>5635.05</v>
      </c>
      <c r="U19" s="239"/>
      <c r="V19" s="241"/>
      <c r="W19" s="239"/>
      <c r="X19" s="236"/>
      <c r="Y19" s="245"/>
      <c r="Z19" s="269"/>
    </row>
    <row r="20" spans="1:26" ht="25.5" x14ac:dyDescent="0.2">
      <c r="A20" s="226"/>
      <c r="B20" s="198" t="s">
        <v>295</v>
      </c>
      <c r="C20" s="200" t="s">
        <v>237</v>
      </c>
      <c r="D20" s="226"/>
      <c r="F20" s="226"/>
      <c r="G20" s="226"/>
      <c r="H20" s="226"/>
      <c r="I20" s="226"/>
      <c r="J20" s="226"/>
      <c r="K20" s="226"/>
      <c r="L20" s="226"/>
      <c r="M20" s="226"/>
      <c r="N20" s="203"/>
      <c r="O20" s="231"/>
      <c r="P20" s="203" t="str">
        <f t="shared" si="0"/>
        <v/>
      </c>
      <c r="Q20" s="204"/>
      <c r="R20" s="202"/>
      <c r="S20" s="202"/>
      <c r="T20" s="202"/>
      <c r="U20" s="237"/>
      <c r="V20" s="238"/>
      <c r="W20" s="238"/>
      <c r="X20" s="238"/>
      <c r="Y20" s="245"/>
      <c r="Z20" s="269"/>
    </row>
    <row r="21" spans="1:26" ht="25.5" x14ac:dyDescent="0.2">
      <c r="A21" s="226"/>
      <c r="B21" s="198" t="s">
        <v>296</v>
      </c>
      <c r="C21" s="200" t="s">
        <v>237</v>
      </c>
      <c r="D21" s="226"/>
      <c r="F21" s="226"/>
      <c r="G21" s="226"/>
      <c r="H21" s="226"/>
      <c r="I21" s="226"/>
      <c r="J21" s="226"/>
      <c r="K21" s="226"/>
      <c r="L21" s="226"/>
      <c r="M21" s="226"/>
      <c r="N21" s="203"/>
      <c r="O21" s="231"/>
      <c r="P21" s="203" t="str">
        <f t="shared" si="0"/>
        <v/>
      </c>
      <c r="Q21" s="204"/>
      <c r="R21" s="202"/>
      <c r="S21" s="202"/>
      <c r="T21" s="202"/>
      <c r="U21" s="237"/>
      <c r="V21" s="238"/>
      <c r="W21" s="238"/>
      <c r="X21" s="238"/>
      <c r="Y21" s="245"/>
      <c r="Z21" s="269"/>
    </row>
    <row r="22" spans="1:26" ht="25.5" x14ac:dyDescent="0.2">
      <c r="A22" s="226"/>
      <c r="B22" s="198" t="s">
        <v>297</v>
      </c>
      <c r="C22" s="200" t="s">
        <v>237</v>
      </c>
      <c r="D22" s="226"/>
      <c r="F22" s="226"/>
      <c r="G22" s="226"/>
      <c r="H22" s="226"/>
      <c r="I22" s="226"/>
      <c r="J22" s="226"/>
      <c r="K22" s="226"/>
      <c r="L22" s="226"/>
      <c r="M22" s="226"/>
      <c r="N22" s="203"/>
      <c r="O22" s="231"/>
      <c r="P22" s="203" t="str">
        <f t="shared" si="0"/>
        <v/>
      </c>
      <c r="Q22" s="204"/>
      <c r="R22" s="202"/>
      <c r="S22" s="202"/>
      <c r="T22" s="202"/>
      <c r="U22" s="237"/>
      <c r="V22" s="238"/>
      <c r="W22" s="238"/>
      <c r="X22" s="238"/>
      <c r="Y22" s="245"/>
      <c r="Z22" s="269"/>
    </row>
    <row r="23" spans="1:26" ht="25.5" x14ac:dyDescent="0.2">
      <c r="A23" s="228">
        <v>589189</v>
      </c>
      <c r="B23" s="198" t="s">
        <v>240</v>
      </c>
      <c r="C23" s="200" t="s">
        <v>237</v>
      </c>
      <c r="D23" s="240">
        <v>2803.16</v>
      </c>
      <c r="F23" s="226"/>
      <c r="G23" s="226"/>
      <c r="H23" s="223">
        <v>3191.93</v>
      </c>
      <c r="I23" s="223">
        <f>ROUND(H23/(1-21.65%),2)</f>
        <v>4073.94</v>
      </c>
      <c r="J23" s="222">
        <v>3119.38</v>
      </c>
      <c r="K23" s="222">
        <f t="shared" ref="K23:K25" si="2">ROUND(J23/(1-21.65%),2)</f>
        <v>3981.34</v>
      </c>
      <c r="L23" s="201">
        <f>ROUND(3618*1.0365,2)</f>
        <v>3750.06</v>
      </c>
      <c r="M23" s="201">
        <f>3920*1.18</f>
        <v>4625.5999999999995</v>
      </c>
      <c r="N23" s="203"/>
      <c r="O23" s="231">
        <f>K23</f>
        <v>3981.34</v>
      </c>
      <c r="P23" s="203">
        <f t="shared" si="0"/>
        <v>1.4203042280854465</v>
      </c>
      <c r="Q23" s="203" t="s">
        <v>265</v>
      </c>
      <c r="R23" s="202">
        <v>3951.04</v>
      </c>
      <c r="S23" s="202">
        <v>3540.56</v>
      </c>
      <c r="T23" s="202">
        <v>3540.17</v>
      </c>
      <c r="U23" s="237"/>
      <c r="V23" s="237"/>
      <c r="W23" s="239"/>
      <c r="X23" s="241"/>
      <c r="Y23" s="245"/>
      <c r="Z23" s="269"/>
    </row>
    <row r="24" spans="1:26" ht="25.5" x14ac:dyDescent="0.2">
      <c r="A24" s="228">
        <v>589180</v>
      </c>
      <c r="B24" s="198" t="s">
        <v>241</v>
      </c>
      <c r="C24" s="200" t="s">
        <v>237</v>
      </c>
      <c r="D24" s="240">
        <v>3295.64</v>
      </c>
      <c r="F24" s="226"/>
      <c r="G24" s="226"/>
      <c r="H24" s="223">
        <v>3494.8</v>
      </c>
      <c r="I24" s="223">
        <f>ROUND(H24/(1-21.65%),2)</f>
        <v>4460.5</v>
      </c>
      <c r="J24" s="222">
        <v>3557.06</v>
      </c>
      <c r="K24" s="222">
        <f t="shared" si="2"/>
        <v>4539.96</v>
      </c>
      <c r="L24" s="201">
        <f>ROUND(5145*1.0365,2)</f>
        <v>5332.79</v>
      </c>
      <c r="M24" s="201">
        <f>4165*1.18</f>
        <v>4914.7</v>
      </c>
      <c r="N24" s="203"/>
      <c r="O24" s="231">
        <f>SMALL((G24,I24,L24,M24),1)</f>
        <v>4460.5</v>
      </c>
      <c r="P24" s="203">
        <f t="shared" si="0"/>
        <v>1.3534548676433107</v>
      </c>
      <c r="Q24" s="203" t="s">
        <v>265</v>
      </c>
      <c r="R24" s="202">
        <v>4645.1899999999996</v>
      </c>
      <c r="S24" s="202">
        <v>4080.54</v>
      </c>
      <c r="T24" s="202">
        <v>3985.51</v>
      </c>
      <c r="U24" s="237"/>
      <c r="V24" s="237"/>
      <c r="W24" s="239"/>
      <c r="X24" s="241"/>
      <c r="Y24" s="245"/>
      <c r="Z24" s="269"/>
    </row>
    <row r="25" spans="1:26" ht="25.5" x14ac:dyDescent="0.2">
      <c r="A25" s="226"/>
      <c r="B25" s="198" t="s">
        <v>286</v>
      </c>
      <c r="C25" s="200" t="s">
        <v>237</v>
      </c>
      <c r="D25" s="226"/>
      <c r="F25" s="226"/>
      <c r="G25" s="226"/>
      <c r="H25" s="224"/>
      <c r="I25" s="224"/>
      <c r="J25" s="222">
        <v>2829.89</v>
      </c>
      <c r="K25" s="222">
        <f t="shared" si="2"/>
        <v>3611.86</v>
      </c>
      <c r="L25" s="226"/>
      <c r="M25" s="226"/>
      <c r="N25" s="203"/>
      <c r="O25" s="270"/>
      <c r="P25" s="203" t="str">
        <f t="shared" si="0"/>
        <v/>
      </c>
      <c r="Q25" s="203"/>
      <c r="R25" s="202"/>
      <c r="S25" s="202"/>
      <c r="T25" s="202"/>
      <c r="U25" s="237"/>
      <c r="V25" s="237"/>
      <c r="W25" s="239"/>
      <c r="X25" s="239"/>
      <c r="Y25" s="245"/>
      <c r="Z25" s="269"/>
    </row>
    <row r="26" spans="1:26" ht="25.5" x14ac:dyDescent="0.2">
      <c r="A26" s="226"/>
      <c r="B26" s="198" t="s">
        <v>287</v>
      </c>
      <c r="C26" s="200" t="s">
        <v>237</v>
      </c>
      <c r="D26" s="226"/>
      <c r="F26" s="226"/>
      <c r="G26" s="226"/>
      <c r="H26" s="224"/>
      <c r="I26" s="224"/>
      <c r="J26" s="224"/>
      <c r="K26" s="224"/>
      <c r="L26" s="226"/>
      <c r="M26" s="226"/>
      <c r="N26" s="203"/>
      <c r="O26" s="270"/>
      <c r="P26" s="203" t="str">
        <f t="shared" si="0"/>
        <v/>
      </c>
      <c r="Q26" s="203"/>
      <c r="R26" s="202"/>
      <c r="S26" s="202"/>
      <c r="T26" s="202"/>
      <c r="U26" s="237"/>
      <c r="V26" s="237"/>
      <c r="W26" s="239"/>
      <c r="X26" s="239"/>
      <c r="Y26" s="245"/>
      <c r="Z26" s="269"/>
    </row>
    <row r="27" spans="1:26" ht="12.75" x14ac:dyDescent="0.2">
      <c r="A27" s="228">
        <v>589170</v>
      </c>
      <c r="B27" s="198" t="s">
        <v>242</v>
      </c>
      <c r="C27" s="200" t="s">
        <v>237</v>
      </c>
      <c r="D27" s="240">
        <v>2659.11</v>
      </c>
      <c r="F27" s="226"/>
      <c r="G27" s="226"/>
      <c r="H27" s="223">
        <v>2686.43</v>
      </c>
      <c r="I27" s="223">
        <f>ROUND(H27/(1-21.65%),2)</f>
        <v>3428.76</v>
      </c>
      <c r="J27" s="222">
        <v>2691.84</v>
      </c>
      <c r="K27" s="222">
        <f t="shared" ref="K27:K32" si="3">ROUND(J27/(1-21.65%),2)</f>
        <v>3435.66</v>
      </c>
      <c r="L27" s="201">
        <f>ROUND(4297*1.0365,2)</f>
        <v>4453.84</v>
      </c>
      <c r="M27" s="201">
        <f>3780*1.18</f>
        <v>4460.3999999999996</v>
      </c>
      <c r="N27" s="203"/>
      <c r="O27" s="231">
        <f>SMALL((G27,I27,L27,K27,M27),1)</f>
        <v>3428.76</v>
      </c>
      <c r="P27" s="203">
        <f t="shared" si="0"/>
        <v>1.2894389476178121</v>
      </c>
      <c r="Q27" s="203" t="s">
        <v>265</v>
      </c>
      <c r="R27" s="202">
        <v>3748</v>
      </c>
      <c r="S27" s="202">
        <v>3857.97</v>
      </c>
      <c r="T27" s="202">
        <v>3335.32</v>
      </c>
      <c r="U27" s="237"/>
      <c r="V27" s="237"/>
      <c r="W27" s="239"/>
      <c r="X27" s="241"/>
      <c r="Y27" s="245"/>
      <c r="Z27" s="269"/>
    </row>
    <row r="28" spans="1:26" ht="12.75" x14ac:dyDescent="0.2">
      <c r="A28" s="228">
        <v>589220</v>
      </c>
      <c r="B28" s="198" t="s">
        <v>243</v>
      </c>
      <c r="C28" s="200" t="s">
        <v>237</v>
      </c>
      <c r="D28" s="240">
        <v>2963.28</v>
      </c>
      <c r="F28" s="226"/>
      <c r="G28" s="226"/>
      <c r="H28" s="223">
        <v>2831.32</v>
      </c>
      <c r="I28" s="223">
        <f>ROUND(H28/(1-21.65%),2)</f>
        <v>3613.68</v>
      </c>
      <c r="J28" s="222">
        <v>2692.84</v>
      </c>
      <c r="K28" s="222">
        <f t="shared" si="3"/>
        <v>3436.94</v>
      </c>
      <c r="L28" s="201">
        <f>ROUND(4609*1.0365,2)</f>
        <v>4777.2299999999996</v>
      </c>
      <c r="M28" s="201">
        <f>4005*1.18</f>
        <v>4725.8999999999996</v>
      </c>
      <c r="N28" s="203"/>
      <c r="O28" s="231">
        <f>I28</f>
        <v>3613.68</v>
      </c>
      <c r="P28" s="203">
        <f t="shared" si="0"/>
        <v>1.2194865149429011</v>
      </c>
      <c r="Q28" s="203" t="s">
        <v>265</v>
      </c>
      <c r="R28" s="202">
        <v>4176.7299999999996</v>
      </c>
      <c r="S28" s="202">
        <v>3270.49</v>
      </c>
      <c r="T28" s="202">
        <v>3276.86</v>
      </c>
      <c r="U28" s="237"/>
      <c r="V28" s="237"/>
      <c r="W28" s="239"/>
      <c r="X28" s="241"/>
      <c r="Y28" s="245"/>
      <c r="Z28" s="269"/>
    </row>
    <row r="29" spans="1:26" ht="12.75" x14ac:dyDescent="0.2">
      <c r="A29" s="228">
        <v>589320</v>
      </c>
      <c r="B29" s="198" t="s">
        <v>244</v>
      </c>
      <c r="C29" s="200" t="s">
        <v>237</v>
      </c>
      <c r="D29" s="240">
        <v>2773.46</v>
      </c>
      <c r="F29" s="226"/>
      <c r="G29" s="226"/>
      <c r="H29" s="224"/>
      <c r="I29" s="224"/>
      <c r="J29" s="222">
        <v>3295.81</v>
      </c>
      <c r="K29" s="222">
        <f t="shared" si="3"/>
        <v>4206.5200000000004</v>
      </c>
      <c r="L29" s="201">
        <f>ROUND(4908*1.0365,2)</f>
        <v>5087.1400000000003</v>
      </c>
      <c r="M29" s="201">
        <f>4240*1.18</f>
        <v>5003.2</v>
      </c>
      <c r="N29" s="203"/>
      <c r="O29" s="231">
        <f>SMALL((G29,I29,L29,K29,M29),1)</f>
        <v>4206.5200000000004</v>
      </c>
      <c r="P29" s="203">
        <f t="shared" si="0"/>
        <v>1.5167047658880966</v>
      </c>
      <c r="Q29" s="203" t="s">
        <v>270</v>
      </c>
      <c r="R29" s="202">
        <v>3909.18</v>
      </c>
      <c r="S29" s="202">
        <v>3617.13</v>
      </c>
      <c r="T29" s="202">
        <v>3843.65</v>
      </c>
      <c r="U29" s="237"/>
      <c r="V29" s="237"/>
      <c r="W29" s="239"/>
      <c r="X29" s="241"/>
      <c r="Y29" s="245"/>
      <c r="Z29" s="269"/>
    </row>
    <row r="30" spans="1:26" ht="12.75" x14ac:dyDescent="0.2">
      <c r="A30" s="228">
        <v>589420</v>
      </c>
      <c r="B30" s="198" t="s">
        <v>245</v>
      </c>
      <c r="C30" s="200" t="s">
        <v>237</v>
      </c>
      <c r="D30" s="240">
        <v>2353.66</v>
      </c>
      <c r="F30" s="226"/>
      <c r="G30" s="226"/>
      <c r="H30" s="223">
        <v>2771.63</v>
      </c>
      <c r="I30" s="223">
        <f>ROUND(H30/(1-21.65%),2)</f>
        <v>3537.5</v>
      </c>
      <c r="J30" s="222">
        <v>2764.05</v>
      </c>
      <c r="K30" s="222">
        <f t="shared" si="3"/>
        <v>3527.82</v>
      </c>
      <c r="L30" s="201">
        <f>ROUND(4102*1.0365,2)</f>
        <v>4251.72</v>
      </c>
      <c r="M30" s="201">
        <f>3580*1.18</f>
        <v>4224.3999999999996</v>
      </c>
      <c r="N30" s="203"/>
      <c r="O30" s="231">
        <f>I30</f>
        <v>3537.5</v>
      </c>
      <c r="P30" s="203">
        <f t="shared" si="0"/>
        <v>1.5029783401170944</v>
      </c>
      <c r="Q30" s="203" t="s">
        <v>265</v>
      </c>
      <c r="R30" s="202">
        <v>3317.47</v>
      </c>
      <c r="S30" s="202">
        <v>2934.27</v>
      </c>
      <c r="T30" s="202">
        <v>3123.51</v>
      </c>
      <c r="U30" s="237"/>
      <c r="V30" s="237"/>
      <c r="W30" s="239"/>
      <c r="X30" s="241"/>
      <c r="Y30" s="245"/>
      <c r="Z30" s="269"/>
    </row>
    <row r="31" spans="1:26" ht="25.5" x14ac:dyDescent="0.2">
      <c r="A31" s="228">
        <v>589430</v>
      </c>
      <c r="B31" s="198" t="s">
        <v>246</v>
      </c>
      <c r="C31" s="200" t="s">
        <v>237</v>
      </c>
      <c r="D31" s="240">
        <v>2858.64</v>
      </c>
      <c r="F31" s="226"/>
      <c r="G31" s="226"/>
      <c r="H31" s="224"/>
      <c r="I31" s="224"/>
      <c r="J31" s="222">
        <v>3719.8</v>
      </c>
      <c r="K31" s="222">
        <f t="shared" si="3"/>
        <v>4747.67</v>
      </c>
      <c r="L31" s="226"/>
      <c r="M31" s="226"/>
      <c r="N31" s="203"/>
      <c r="O31" s="231">
        <f>SMALL((G31,I31,L31,K31,M31),1)</f>
        <v>4747.67</v>
      </c>
      <c r="P31" s="203">
        <f t="shared" si="0"/>
        <v>1.6608142333417291</v>
      </c>
      <c r="Q31" s="204" t="s">
        <v>270</v>
      </c>
      <c r="R31" s="202"/>
      <c r="S31" s="202">
        <v>3861.52</v>
      </c>
      <c r="T31" s="202">
        <v>4147.8599999999997</v>
      </c>
      <c r="U31" s="237"/>
      <c r="V31" s="237"/>
      <c r="W31" s="239"/>
      <c r="X31" s="241"/>
      <c r="Y31" s="245"/>
      <c r="Z31" s="269"/>
    </row>
    <row r="32" spans="1:26" ht="12.75" x14ac:dyDescent="0.2">
      <c r="A32" s="228">
        <v>589520</v>
      </c>
      <c r="B32" s="198" t="s">
        <v>247</v>
      </c>
      <c r="C32" s="200" t="s">
        <v>237</v>
      </c>
      <c r="D32" s="240">
        <v>2665.24</v>
      </c>
      <c r="F32" s="226"/>
      <c r="G32" s="226"/>
      <c r="H32" s="223">
        <v>3053.35</v>
      </c>
      <c r="I32" s="223">
        <f>ROUND(H32/(1-21.65%),2)</f>
        <v>3897.06</v>
      </c>
      <c r="J32" s="222">
        <v>3070.87</v>
      </c>
      <c r="K32" s="222">
        <f t="shared" si="3"/>
        <v>3919.43</v>
      </c>
      <c r="L32" s="201">
        <f>ROUND(4440*1.0365,2)</f>
        <v>4602.0600000000004</v>
      </c>
      <c r="M32" s="201">
        <f>3900*1.18</f>
        <v>4602</v>
      </c>
      <c r="N32" s="203"/>
      <c r="O32" s="231">
        <f>SMALL((G32,I32,L32,K32,M32),1)</f>
        <v>3897.06</v>
      </c>
      <c r="P32" s="203">
        <f t="shared" si="0"/>
        <v>1.4621797661749036</v>
      </c>
      <c r="Q32" s="203" t="s">
        <v>265</v>
      </c>
      <c r="R32" s="202">
        <v>3756.64</v>
      </c>
      <c r="S32" s="202">
        <v>3314.7</v>
      </c>
      <c r="T32" s="202">
        <v>3487.86</v>
      </c>
      <c r="U32" s="237"/>
      <c r="V32" s="237"/>
      <c r="W32" s="239"/>
      <c r="X32" s="241"/>
      <c r="Y32" s="245"/>
      <c r="Z32" s="269"/>
    </row>
    <row r="33" spans="1:26" ht="26.25" thickBot="1" x14ac:dyDescent="0.25">
      <c r="A33" s="242">
        <v>589530</v>
      </c>
      <c r="B33" s="214" t="s">
        <v>248</v>
      </c>
      <c r="C33" s="215" t="s">
        <v>237</v>
      </c>
      <c r="D33" s="243">
        <v>2884.67</v>
      </c>
      <c r="E33" s="216"/>
      <c r="F33" s="227"/>
      <c r="G33" s="227"/>
      <c r="H33" s="225">
        <v>3298.21</v>
      </c>
      <c r="I33" s="225">
        <f>ROUND(H33/(1-21.65%),2)</f>
        <v>4209.59</v>
      </c>
      <c r="J33" s="225">
        <v>3298.21</v>
      </c>
      <c r="K33" s="225">
        <f>ROUND(J33/(1-21.65%),2)</f>
        <v>4209.59</v>
      </c>
      <c r="L33" s="217">
        <f>ROUND(5605*1.0365,2)</f>
        <v>5809.58</v>
      </c>
      <c r="M33" s="217">
        <f>4523*1.18</f>
        <v>5337.1399999999994</v>
      </c>
      <c r="N33" s="271"/>
      <c r="O33" s="244">
        <f>SMALL((G33,I33,L33,K33,M33),1)</f>
        <v>4209.59</v>
      </c>
      <c r="P33" s="203">
        <f t="shared" si="0"/>
        <v>1.4592969039786181</v>
      </c>
      <c r="Q33" s="204" t="s">
        <v>265</v>
      </c>
      <c r="R33" s="202"/>
      <c r="S33" s="202">
        <v>3660.49</v>
      </c>
      <c r="T33" s="202">
        <v>3937.04</v>
      </c>
      <c r="U33" s="237"/>
      <c r="V33" s="239"/>
      <c r="W33" s="239"/>
      <c r="X33" s="241"/>
      <c r="Y33" s="245"/>
      <c r="Z33" s="269"/>
    </row>
    <row r="34" spans="1:26" x14ac:dyDescent="0.2">
      <c r="F34"/>
      <c r="G34"/>
      <c r="H34"/>
      <c r="I34"/>
      <c r="J34"/>
      <c r="K34"/>
      <c r="L34"/>
      <c r="M34"/>
      <c r="N34"/>
      <c r="T34"/>
      <c r="X34" s="233"/>
    </row>
    <row r="35" spans="1:26" x14ac:dyDescent="0.2">
      <c r="F35"/>
      <c r="G35"/>
      <c r="H35"/>
      <c r="I35"/>
      <c r="J35"/>
      <c r="K35"/>
      <c r="L35"/>
      <c r="M35"/>
      <c r="N35"/>
      <c r="T35"/>
      <c r="X35" s="233"/>
    </row>
    <row r="36" spans="1:26" x14ac:dyDescent="0.2">
      <c r="F36"/>
      <c r="G36"/>
      <c r="H36"/>
      <c r="I36"/>
      <c r="J36"/>
      <c r="K36"/>
      <c r="L36"/>
      <c r="M36"/>
      <c r="N36"/>
      <c r="T36"/>
      <c r="X36" s="233"/>
    </row>
    <row r="37" spans="1:26" x14ac:dyDescent="0.2">
      <c r="F37"/>
      <c r="G37"/>
      <c r="H37"/>
      <c r="I37"/>
      <c r="J37"/>
      <c r="K37"/>
      <c r="L37"/>
      <c r="M37"/>
      <c r="N37"/>
      <c r="T37"/>
      <c r="X37" s="233"/>
    </row>
    <row r="38" spans="1:26" x14ac:dyDescent="0.2">
      <c r="F38"/>
      <c r="G38"/>
      <c r="H38"/>
      <c r="I38"/>
      <c r="J38"/>
      <c r="K38"/>
      <c r="L38" t="s">
        <v>4</v>
      </c>
      <c r="M38"/>
      <c r="N38"/>
      <c r="T38"/>
      <c r="X38" s="233"/>
    </row>
    <row r="39" spans="1:26" x14ac:dyDescent="0.2">
      <c r="F39"/>
      <c r="G39"/>
      <c r="H39"/>
      <c r="I39"/>
      <c r="J39"/>
      <c r="K39"/>
      <c r="L39"/>
      <c r="M39"/>
      <c r="N39"/>
      <c r="T39"/>
      <c r="X39" s="233"/>
    </row>
    <row r="40" spans="1:26" x14ac:dyDescent="0.2">
      <c r="F40"/>
      <c r="G40"/>
      <c r="H40"/>
      <c r="I40"/>
      <c r="J40"/>
      <c r="K40"/>
      <c r="L40"/>
      <c r="M40"/>
      <c r="N40"/>
      <c r="T40"/>
      <c r="X40" s="233"/>
    </row>
    <row r="41" spans="1:26" x14ac:dyDescent="0.2">
      <c r="F41"/>
      <c r="G41"/>
      <c r="H41"/>
      <c r="I41"/>
      <c r="J41"/>
      <c r="K41"/>
      <c r="L41"/>
      <c r="M41"/>
      <c r="N41"/>
      <c r="T41"/>
      <c r="X41" s="233"/>
    </row>
    <row r="42" spans="1:26" x14ac:dyDescent="0.2">
      <c r="F42"/>
      <c r="G42"/>
      <c r="H42"/>
      <c r="I42"/>
      <c r="J42"/>
      <c r="K42"/>
      <c r="L42"/>
      <c r="M42"/>
      <c r="N42"/>
      <c r="T42"/>
      <c r="X42" s="233"/>
    </row>
    <row r="43" spans="1:26" x14ac:dyDescent="0.2">
      <c r="F43"/>
      <c r="G43"/>
      <c r="H43"/>
      <c r="I43"/>
      <c r="J43"/>
      <c r="K43"/>
      <c r="L43"/>
      <c r="M43"/>
      <c r="N43"/>
      <c r="T43"/>
      <c r="X43" s="233"/>
    </row>
    <row r="44" spans="1:26" x14ac:dyDescent="0.2">
      <c r="F44"/>
      <c r="G44"/>
      <c r="H44"/>
      <c r="I44"/>
      <c r="J44"/>
      <c r="K44"/>
      <c r="L44"/>
      <c r="M44"/>
      <c r="N44"/>
      <c r="T44"/>
      <c r="X44" s="233"/>
    </row>
    <row r="45" spans="1:26" x14ac:dyDescent="0.2">
      <c r="F45"/>
      <c r="G45"/>
      <c r="H45"/>
      <c r="I45"/>
      <c r="J45"/>
      <c r="K45"/>
      <c r="L45"/>
      <c r="M45"/>
      <c r="N45"/>
      <c r="T45"/>
      <c r="X45" s="233"/>
    </row>
    <row r="46" spans="1:26" x14ac:dyDescent="0.2">
      <c r="F46"/>
      <c r="G46"/>
      <c r="H46"/>
      <c r="I46"/>
      <c r="J46"/>
      <c r="K46"/>
      <c r="L46"/>
      <c r="M46"/>
      <c r="N46"/>
      <c r="T46"/>
      <c r="X46" s="233"/>
    </row>
    <row r="47" spans="1:26" x14ac:dyDescent="0.2">
      <c r="F47"/>
      <c r="G47"/>
      <c r="H47"/>
      <c r="I47"/>
      <c r="J47"/>
      <c r="K47"/>
      <c r="L47"/>
      <c r="M47"/>
      <c r="N47"/>
      <c r="T47"/>
      <c r="X47" s="233"/>
    </row>
    <row r="48" spans="1:26" x14ac:dyDescent="0.2">
      <c r="F48"/>
      <c r="G48"/>
      <c r="H48"/>
      <c r="I48"/>
      <c r="J48"/>
      <c r="K48"/>
      <c r="L48"/>
      <c r="M48"/>
      <c r="N48"/>
      <c r="T48"/>
      <c r="X48" s="233"/>
    </row>
    <row r="49" spans="6:24" x14ac:dyDescent="0.2">
      <c r="F49"/>
      <c r="G49"/>
      <c r="H49"/>
      <c r="I49"/>
      <c r="J49"/>
      <c r="K49"/>
      <c r="L49"/>
      <c r="M49"/>
      <c r="N49"/>
      <c r="T49"/>
      <c r="X49" s="233"/>
    </row>
    <row r="50" spans="6:24" x14ac:dyDescent="0.2">
      <c r="F50"/>
      <c r="G50"/>
      <c r="H50"/>
      <c r="I50"/>
      <c r="J50"/>
      <c r="K50"/>
      <c r="L50"/>
      <c r="M50"/>
      <c r="N50"/>
      <c r="T50"/>
      <c r="X50" s="233"/>
    </row>
    <row r="51" spans="6:24" x14ac:dyDescent="0.2">
      <c r="F51"/>
      <c r="G51"/>
      <c r="H51"/>
      <c r="I51"/>
      <c r="J51"/>
      <c r="K51"/>
      <c r="L51"/>
      <c r="M51"/>
      <c r="N51"/>
      <c r="T51"/>
      <c r="X51" s="233"/>
    </row>
    <row r="52" spans="6:24" x14ac:dyDescent="0.2">
      <c r="F52"/>
      <c r="G52"/>
      <c r="H52"/>
      <c r="I52"/>
      <c r="J52"/>
      <c r="K52"/>
      <c r="L52"/>
      <c r="M52"/>
      <c r="N52"/>
      <c r="T52"/>
      <c r="X52" s="233"/>
    </row>
    <row r="53" spans="6:24" x14ac:dyDescent="0.2">
      <c r="F53"/>
      <c r="G53"/>
      <c r="H53"/>
      <c r="I53"/>
      <c r="J53"/>
      <c r="K53"/>
      <c r="L53"/>
      <c r="M53"/>
      <c r="N53"/>
      <c r="T53"/>
      <c r="X53" s="233"/>
    </row>
    <row r="54" spans="6:24" x14ac:dyDescent="0.2">
      <c r="F54"/>
      <c r="G54"/>
      <c r="H54"/>
      <c r="I54"/>
      <c r="J54"/>
      <c r="K54"/>
      <c r="L54"/>
      <c r="M54"/>
      <c r="N54"/>
      <c r="T54"/>
      <c r="X54" s="233"/>
    </row>
    <row r="55" spans="6:24" x14ac:dyDescent="0.2">
      <c r="F55"/>
      <c r="G55"/>
      <c r="H55"/>
      <c r="I55"/>
      <c r="J55"/>
      <c r="K55"/>
      <c r="L55"/>
      <c r="M55"/>
      <c r="N55"/>
      <c r="T55"/>
      <c r="X55" s="233"/>
    </row>
    <row r="56" spans="6:24" x14ac:dyDescent="0.2">
      <c r="F56"/>
      <c r="G56"/>
      <c r="H56"/>
      <c r="I56"/>
      <c r="J56"/>
      <c r="K56"/>
      <c r="L56"/>
      <c r="M56"/>
      <c r="N56"/>
      <c r="T56"/>
      <c r="X56" s="233"/>
    </row>
    <row r="57" spans="6:24" x14ac:dyDescent="0.2">
      <c r="F57"/>
      <c r="G57"/>
      <c r="H57"/>
      <c r="I57"/>
      <c r="J57"/>
      <c r="K57"/>
      <c r="L57"/>
      <c r="M57"/>
      <c r="N57"/>
      <c r="T57"/>
      <c r="X57" s="233"/>
    </row>
    <row r="58" spans="6:24" x14ac:dyDescent="0.2">
      <c r="F58"/>
      <c r="G58"/>
      <c r="H58"/>
      <c r="I58"/>
      <c r="J58"/>
      <c r="K58"/>
      <c r="L58"/>
      <c r="M58"/>
      <c r="N58"/>
      <c r="T58"/>
      <c r="X58" s="233"/>
    </row>
    <row r="59" spans="6:24" x14ac:dyDescent="0.2">
      <c r="F59"/>
      <c r="G59"/>
      <c r="H59"/>
      <c r="I59"/>
      <c r="J59"/>
      <c r="K59"/>
      <c r="L59"/>
      <c r="M59"/>
      <c r="N59"/>
      <c r="T59"/>
      <c r="X59" s="233"/>
    </row>
    <row r="60" spans="6:24" x14ac:dyDescent="0.2">
      <c r="F60"/>
      <c r="G60"/>
      <c r="H60"/>
      <c r="I60"/>
      <c r="J60"/>
      <c r="K60"/>
      <c r="L60"/>
      <c r="M60"/>
      <c r="N60"/>
      <c r="T60"/>
      <c r="X60" s="233"/>
    </row>
    <row r="61" spans="6:24" x14ac:dyDescent="0.2">
      <c r="F61"/>
      <c r="G61"/>
      <c r="H61"/>
      <c r="I61"/>
      <c r="J61"/>
      <c r="K61"/>
      <c r="L61"/>
      <c r="M61"/>
      <c r="N61"/>
      <c r="T61"/>
      <c r="X61" s="233"/>
    </row>
    <row r="62" spans="6:24" x14ac:dyDescent="0.2">
      <c r="F62"/>
      <c r="G62"/>
      <c r="H62"/>
      <c r="I62"/>
      <c r="J62"/>
      <c r="K62"/>
      <c r="L62"/>
      <c r="M62"/>
      <c r="N62"/>
      <c r="T62"/>
      <c r="X62" s="233"/>
    </row>
    <row r="63" spans="6:24" x14ac:dyDescent="0.2">
      <c r="F63"/>
      <c r="G63"/>
      <c r="H63"/>
      <c r="I63"/>
      <c r="J63"/>
      <c r="K63"/>
      <c r="L63"/>
      <c r="M63"/>
      <c r="N63"/>
      <c r="T63"/>
      <c r="X63" s="233"/>
    </row>
    <row r="64" spans="6:24" x14ac:dyDescent="0.2">
      <c r="F64"/>
      <c r="G64"/>
      <c r="H64"/>
      <c r="I64"/>
      <c r="J64"/>
      <c r="K64"/>
      <c r="L64"/>
      <c r="M64"/>
      <c r="N64"/>
      <c r="T64"/>
      <c r="X64" s="233"/>
    </row>
    <row r="65" spans="6:24" x14ac:dyDescent="0.2">
      <c r="F65"/>
      <c r="G65"/>
      <c r="H65"/>
      <c r="I65"/>
      <c r="J65"/>
      <c r="K65"/>
      <c r="L65"/>
      <c r="M65"/>
      <c r="N65"/>
      <c r="T65"/>
      <c r="X65" s="233"/>
    </row>
  </sheetData>
  <mergeCells count="1">
    <mergeCell ref="A8:B8"/>
  </mergeCells>
  <phoneticPr fontId="4" type="noConversion"/>
  <hyperlinks>
    <hyperlink ref="R6" r:id="rId1" display="https://www.gov.br/anp/pt-br/assuntos/precos-e-defesa-da-concorrencia/precos/precos-de-distribuicao-de-produtos-asfalticos" xr:uid="{471CEBB2-DB79-4A03-9B2F-3EE30A152E5D}"/>
    <hyperlink ref="R7" r:id="rId2" display="https://www.gov.br/anp/pt-br/assuntos/precos-e-defesa-da-concorrencia/precos/precos-de-produtores-e-importadores-de-derivados-de-petroleo" xr:uid="{BBBA2043-C4E1-480E-B263-305E84E67601}"/>
  </hyperlinks>
  <pageMargins left="0.511811024" right="0.511811024" top="0.78740157499999996" bottom="0.78740157499999996" header="0.31496062000000002" footer="0.31496062000000002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BDE30-1CC7-4976-98CD-71D4C622912B}">
  <sheetPr>
    <pageSetUpPr fitToPage="1"/>
  </sheetPr>
  <dimension ref="A1:S131"/>
  <sheetViews>
    <sheetView showZeros="0" topLeftCell="D112" zoomScale="112" zoomScaleNormal="112" workbookViewId="0">
      <selection activeCell="I143" sqref="I143"/>
    </sheetView>
  </sheetViews>
  <sheetFormatPr defaultColWidth="10.6640625" defaultRowHeight="12.75" x14ac:dyDescent="0.2"/>
  <cols>
    <col min="1" max="1" width="10.6640625" style="46" customWidth="1"/>
    <col min="2" max="2" width="13.1640625" style="46" customWidth="1"/>
    <col min="3" max="3" width="38" style="46" customWidth="1"/>
    <col min="4" max="4" width="3.83203125" style="46" customWidth="1"/>
    <col min="5" max="16" width="10" style="46" customWidth="1"/>
    <col min="17" max="17" width="10.6640625" style="46" customWidth="1"/>
    <col min="18" max="255" width="10.6640625" style="46"/>
    <col min="256" max="256" width="13.1640625" style="46" customWidth="1"/>
    <col min="257" max="257" width="79" style="46" customWidth="1"/>
    <col min="258" max="258" width="3.83203125" style="46" customWidth="1"/>
    <col min="259" max="271" width="12.5" style="46" customWidth="1"/>
    <col min="272" max="272" width="8.5" style="46" customWidth="1"/>
    <col min="273" max="511" width="10.6640625" style="46"/>
    <col min="512" max="512" width="13.1640625" style="46" customWidth="1"/>
    <col min="513" max="513" width="79" style="46" customWidth="1"/>
    <col min="514" max="514" width="3.83203125" style="46" customWidth="1"/>
    <col min="515" max="527" width="12.5" style="46" customWidth="1"/>
    <col min="528" max="528" width="8.5" style="46" customWidth="1"/>
    <col min="529" max="767" width="10.6640625" style="46"/>
    <col min="768" max="768" width="13.1640625" style="46" customWidth="1"/>
    <col min="769" max="769" width="79" style="46" customWidth="1"/>
    <col min="770" max="770" width="3.83203125" style="46" customWidth="1"/>
    <col min="771" max="783" width="12.5" style="46" customWidth="1"/>
    <col min="784" max="784" width="8.5" style="46" customWidth="1"/>
    <col min="785" max="1023" width="10.6640625" style="46"/>
    <col min="1024" max="1024" width="13.1640625" style="46" customWidth="1"/>
    <col min="1025" max="1025" width="79" style="46" customWidth="1"/>
    <col min="1026" max="1026" width="3.83203125" style="46" customWidth="1"/>
    <col min="1027" max="1039" width="12.5" style="46" customWidth="1"/>
    <col min="1040" max="1040" width="8.5" style="46" customWidth="1"/>
    <col min="1041" max="1279" width="10.6640625" style="46"/>
    <col min="1280" max="1280" width="13.1640625" style="46" customWidth="1"/>
    <col min="1281" max="1281" width="79" style="46" customWidth="1"/>
    <col min="1282" max="1282" width="3.83203125" style="46" customWidth="1"/>
    <col min="1283" max="1295" width="12.5" style="46" customWidth="1"/>
    <col min="1296" max="1296" width="8.5" style="46" customWidth="1"/>
    <col min="1297" max="1535" width="10.6640625" style="46"/>
    <col min="1536" max="1536" width="13.1640625" style="46" customWidth="1"/>
    <col min="1537" max="1537" width="79" style="46" customWidth="1"/>
    <col min="1538" max="1538" width="3.83203125" style="46" customWidth="1"/>
    <col min="1539" max="1551" width="12.5" style="46" customWidth="1"/>
    <col min="1552" max="1552" width="8.5" style="46" customWidth="1"/>
    <col min="1553" max="1791" width="10.6640625" style="46"/>
    <col min="1792" max="1792" width="13.1640625" style="46" customWidth="1"/>
    <col min="1793" max="1793" width="79" style="46" customWidth="1"/>
    <col min="1794" max="1794" width="3.83203125" style="46" customWidth="1"/>
    <col min="1795" max="1807" width="12.5" style="46" customWidth="1"/>
    <col min="1808" max="1808" width="8.5" style="46" customWidth="1"/>
    <col min="1809" max="2047" width="10.6640625" style="46"/>
    <col min="2048" max="2048" width="13.1640625" style="46" customWidth="1"/>
    <col min="2049" max="2049" width="79" style="46" customWidth="1"/>
    <col min="2050" max="2050" width="3.83203125" style="46" customWidth="1"/>
    <col min="2051" max="2063" width="12.5" style="46" customWidth="1"/>
    <col min="2064" max="2064" width="8.5" style="46" customWidth="1"/>
    <col min="2065" max="2303" width="10.6640625" style="46"/>
    <col min="2304" max="2304" width="13.1640625" style="46" customWidth="1"/>
    <col min="2305" max="2305" width="79" style="46" customWidth="1"/>
    <col min="2306" max="2306" width="3.83203125" style="46" customWidth="1"/>
    <col min="2307" max="2319" width="12.5" style="46" customWidth="1"/>
    <col min="2320" max="2320" width="8.5" style="46" customWidth="1"/>
    <col min="2321" max="2559" width="10.6640625" style="46"/>
    <col min="2560" max="2560" width="13.1640625" style="46" customWidth="1"/>
    <col min="2561" max="2561" width="79" style="46" customWidth="1"/>
    <col min="2562" max="2562" width="3.83203125" style="46" customWidth="1"/>
    <col min="2563" max="2575" width="12.5" style="46" customWidth="1"/>
    <col min="2576" max="2576" width="8.5" style="46" customWidth="1"/>
    <col min="2577" max="2815" width="10.6640625" style="46"/>
    <col min="2816" max="2816" width="13.1640625" style="46" customWidth="1"/>
    <col min="2817" max="2817" width="79" style="46" customWidth="1"/>
    <col min="2818" max="2818" width="3.83203125" style="46" customWidth="1"/>
    <col min="2819" max="2831" width="12.5" style="46" customWidth="1"/>
    <col min="2832" max="2832" width="8.5" style="46" customWidth="1"/>
    <col min="2833" max="3071" width="10.6640625" style="46"/>
    <col min="3072" max="3072" width="13.1640625" style="46" customWidth="1"/>
    <col min="3073" max="3073" width="79" style="46" customWidth="1"/>
    <col min="3074" max="3074" width="3.83203125" style="46" customWidth="1"/>
    <col min="3075" max="3087" width="12.5" style="46" customWidth="1"/>
    <col min="3088" max="3088" width="8.5" style="46" customWidth="1"/>
    <col min="3089" max="3327" width="10.6640625" style="46"/>
    <col min="3328" max="3328" width="13.1640625" style="46" customWidth="1"/>
    <col min="3329" max="3329" width="79" style="46" customWidth="1"/>
    <col min="3330" max="3330" width="3.83203125" style="46" customWidth="1"/>
    <col min="3331" max="3343" width="12.5" style="46" customWidth="1"/>
    <col min="3344" max="3344" width="8.5" style="46" customWidth="1"/>
    <col min="3345" max="3583" width="10.6640625" style="46"/>
    <col min="3584" max="3584" width="13.1640625" style="46" customWidth="1"/>
    <col min="3585" max="3585" width="79" style="46" customWidth="1"/>
    <col min="3586" max="3586" width="3.83203125" style="46" customWidth="1"/>
    <col min="3587" max="3599" width="12.5" style="46" customWidth="1"/>
    <col min="3600" max="3600" width="8.5" style="46" customWidth="1"/>
    <col min="3601" max="3839" width="10.6640625" style="46"/>
    <col min="3840" max="3840" width="13.1640625" style="46" customWidth="1"/>
    <col min="3841" max="3841" width="79" style="46" customWidth="1"/>
    <col min="3842" max="3842" width="3.83203125" style="46" customWidth="1"/>
    <col min="3843" max="3855" width="12.5" style="46" customWidth="1"/>
    <col min="3856" max="3856" width="8.5" style="46" customWidth="1"/>
    <col min="3857" max="4095" width="10.6640625" style="46"/>
    <col min="4096" max="4096" width="13.1640625" style="46" customWidth="1"/>
    <col min="4097" max="4097" width="79" style="46" customWidth="1"/>
    <col min="4098" max="4098" width="3.83203125" style="46" customWidth="1"/>
    <col min="4099" max="4111" width="12.5" style="46" customWidth="1"/>
    <col min="4112" max="4112" width="8.5" style="46" customWidth="1"/>
    <col min="4113" max="4351" width="10.6640625" style="46"/>
    <col min="4352" max="4352" width="13.1640625" style="46" customWidth="1"/>
    <col min="4353" max="4353" width="79" style="46" customWidth="1"/>
    <col min="4354" max="4354" width="3.83203125" style="46" customWidth="1"/>
    <col min="4355" max="4367" width="12.5" style="46" customWidth="1"/>
    <col min="4368" max="4368" width="8.5" style="46" customWidth="1"/>
    <col min="4369" max="4607" width="10.6640625" style="46"/>
    <col min="4608" max="4608" width="13.1640625" style="46" customWidth="1"/>
    <col min="4609" max="4609" width="79" style="46" customWidth="1"/>
    <col min="4610" max="4610" width="3.83203125" style="46" customWidth="1"/>
    <col min="4611" max="4623" width="12.5" style="46" customWidth="1"/>
    <col min="4624" max="4624" width="8.5" style="46" customWidth="1"/>
    <col min="4625" max="4863" width="10.6640625" style="46"/>
    <col min="4864" max="4864" width="13.1640625" style="46" customWidth="1"/>
    <col min="4865" max="4865" width="79" style="46" customWidth="1"/>
    <col min="4866" max="4866" width="3.83203125" style="46" customWidth="1"/>
    <col min="4867" max="4879" width="12.5" style="46" customWidth="1"/>
    <col min="4880" max="4880" width="8.5" style="46" customWidth="1"/>
    <col min="4881" max="5119" width="10.6640625" style="46"/>
    <col min="5120" max="5120" width="13.1640625" style="46" customWidth="1"/>
    <col min="5121" max="5121" width="79" style="46" customWidth="1"/>
    <col min="5122" max="5122" width="3.83203125" style="46" customWidth="1"/>
    <col min="5123" max="5135" width="12.5" style="46" customWidth="1"/>
    <col min="5136" max="5136" width="8.5" style="46" customWidth="1"/>
    <col min="5137" max="5375" width="10.6640625" style="46"/>
    <col min="5376" max="5376" width="13.1640625" style="46" customWidth="1"/>
    <col min="5377" max="5377" width="79" style="46" customWidth="1"/>
    <col min="5378" max="5378" width="3.83203125" style="46" customWidth="1"/>
    <col min="5379" max="5391" width="12.5" style="46" customWidth="1"/>
    <col min="5392" max="5392" width="8.5" style="46" customWidth="1"/>
    <col min="5393" max="5631" width="10.6640625" style="46"/>
    <col min="5632" max="5632" width="13.1640625" style="46" customWidth="1"/>
    <col min="5633" max="5633" width="79" style="46" customWidth="1"/>
    <col min="5634" max="5634" width="3.83203125" style="46" customWidth="1"/>
    <col min="5635" max="5647" width="12.5" style="46" customWidth="1"/>
    <col min="5648" max="5648" width="8.5" style="46" customWidth="1"/>
    <col min="5649" max="5887" width="10.6640625" style="46"/>
    <col min="5888" max="5888" width="13.1640625" style="46" customWidth="1"/>
    <col min="5889" max="5889" width="79" style="46" customWidth="1"/>
    <col min="5890" max="5890" width="3.83203125" style="46" customWidth="1"/>
    <col min="5891" max="5903" width="12.5" style="46" customWidth="1"/>
    <col min="5904" max="5904" width="8.5" style="46" customWidth="1"/>
    <col min="5905" max="6143" width="10.6640625" style="46"/>
    <col min="6144" max="6144" width="13.1640625" style="46" customWidth="1"/>
    <col min="6145" max="6145" width="79" style="46" customWidth="1"/>
    <col min="6146" max="6146" width="3.83203125" style="46" customWidth="1"/>
    <col min="6147" max="6159" width="12.5" style="46" customWidth="1"/>
    <col min="6160" max="6160" width="8.5" style="46" customWidth="1"/>
    <col min="6161" max="6399" width="10.6640625" style="46"/>
    <col min="6400" max="6400" width="13.1640625" style="46" customWidth="1"/>
    <col min="6401" max="6401" width="79" style="46" customWidth="1"/>
    <col min="6402" max="6402" width="3.83203125" style="46" customWidth="1"/>
    <col min="6403" max="6415" width="12.5" style="46" customWidth="1"/>
    <col min="6416" max="6416" width="8.5" style="46" customWidth="1"/>
    <col min="6417" max="6655" width="10.6640625" style="46"/>
    <col min="6656" max="6656" width="13.1640625" style="46" customWidth="1"/>
    <col min="6657" max="6657" width="79" style="46" customWidth="1"/>
    <col min="6658" max="6658" width="3.83203125" style="46" customWidth="1"/>
    <col min="6659" max="6671" width="12.5" style="46" customWidth="1"/>
    <col min="6672" max="6672" width="8.5" style="46" customWidth="1"/>
    <col min="6673" max="6911" width="10.6640625" style="46"/>
    <col min="6912" max="6912" width="13.1640625" style="46" customWidth="1"/>
    <col min="6913" max="6913" width="79" style="46" customWidth="1"/>
    <col min="6914" max="6914" width="3.83203125" style="46" customWidth="1"/>
    <col min="6915" max="6927" width="12.5" style="46" customWidth="1"/>
    <col min="6928" max="6928" width="8.5" style="46" customWidth="1"/>
    <col min="6929" max="7167" width="10.6640625" style="46"/>
    <col min="7168" max="7168" width="13.1640625" style="46" customWidth="1"/>
    <col min="7169" max="7169" width="79" style="46" customWidth="1"/>
    <col min="7170" max="7170" width="3.83203125" style="46" customWidth="1"/>
    <col min="7171" max="7183" width="12.5" style="46" customWidth="1"/>
    <col min="7184" max="7184" width="8.5" style="46" customWidth="1"/>
    <col min="7185" max="7423" width="10.6640625" style="46"/>
    <col min="7424" max="7424" width="13.1640625" style="46" customWidth="1"/>
    <col min="7425" max="7425" width="79" style="46" customWidth="1"/>
    <col min="7426" max="7426" width="3.83203125" style="46" customWidth="1"/>
    <col min="7427" max="7439" width="12.5" style="46" customWidth="1"/>
    <col min="7440" max="7440" width="8.5" style="46" customWidth="1"/>
    <col min="7441" max="7679" width="10.6640625" style="46"/>
    <col min="7680" max="7680" width="13.1640625" style="46" customWidth="1"/>
    <col min="7681" max="7681" width="79" style="46" customWidth="1"/>
    <col min="7682" max="7682" width="3.83203125" style="46" customWidth="1"/>
    <col min="7683" max="7695" width="12.5" style="46" customWidth="1"/>
    <col min="7696" max="7696" width="8.5" style="46" customWidth="1"/>
    <col min="7697" max="7935" width="10.6640625" style="46"/>
    <col min="7936" max="7936" width="13.1640625" style="46" customWidth="1"/>
    <col min="7937" max="7937" width="79" style="46" customWidth="1"/>
    <col min="7938" max="7938" width="3.83203125" style="46" customWidth="1"/>
    <col min="7939" max="7951" width="12.5" style="46" customWidth="1"/>
    <col min="7952" max="7952" width="8.5" style="46" customWidth="1"/>
    <col min="7953" max="8191" width="10.6640625" style="46"/>
    <col min="8192" max="8192" width="13.1640625" style="46" customWidth="1"/>
    <col min="8193" max="8193" width="79" style="46" customWidth="1"/>
    <col min="8194" max="8194" width="3.83203125" style="46" customWidth="1"/>
    <col min="8195" max="8207" width="12.5" style="46" customWidth="1"/>
    <col min="8208" max="8208" width="8.5" style="46" customWidth="1"/>
    <col min="8209" max="8447" width="10.6640625" style="46"/>
    <col min="8448" max="8448" width="13.1640625" style="46" customWidth="1"/>
    <col min="8449" max="8449" width="79" style="46" customWidth="1"/>
    <col min="8450" max="8450" width="3.83203125" style="46" customWidth="1"/>
    <col min="8451" max="8463" width="12.5" style="46" customWidth="1"/>
    <col min="8464" max="8464" width="8.5" style="46" customWidth="1"/>
    <col min="8465" max="8703" width="10.6640625" style="46"/>
    <col min="8704" max="8704" width="13.1640625" style="46" customWidth="1"/>
    <col min="8705" max="8705" width="79" style="46" customWidth="1"/>
    <col min="8706" max="8706" width="3.83203125" style="46" customWidth="1"/>
    <col min="8707" max="8719" width="12.5" style="46" customWidth="1"/>
    <col min="8720" max="8720" width="8.5" style="46" customWidth="1"/>
    <col min="8721" max="8959" width="10.6640625" style="46"/>
    <col min="8960" max="8960" width="13.1640625" style="46" customWidth="1"/>
    <col min="8961" max="8961" width="79" style="46" customWidth="1"/>
    <col min="8962" max="8962" width="3.83203125" style="46" customWidth="1"/>
    <col min="8963" max="8975" width="12.5" style="46" customWidth="1"/>
    <col min="8976" max="8976" width="8.5" style="46" customWidth="1"/>
    <col min="8977" max="9215" width="10.6640625" style="46"/>
    <col min="9216" max="9216" width="13.1640625" style="46" customWidth="1"/>
    <col min="9217" max="9217" width="79" style="46" customWidth="1"/>
    <col min="9218" max="9218" width="3.83203125" style="46" customWidth="1"/>
    <col min="9219" max="9231" width="12.5" style="46" customWidth="1"/>
    <col min="9232" max="9232" width="8.5" style="46" customWidth="1"/>
    <col min="9233" max="9471" width="10.6640625" style="46"/>
    <col min="9472" max="9472" width="13.1640625" style="46" customWidth="1"/>
    <col min="9473" max="9473" width="79" style="46" customWidth="1"/>
    <col min="9474" max="9474" width="3.83203125" style="46" customWidth="1"/>
    <col min="9475" max="9487" width="12.5" style="46" customWidth="1"/>
    <col min="9488" max="9488" width="8.5" style="46" customWidth="1"/>
    <col min="9489" max="9727" width="10.6640625" style="46"/>
    <col min="9728" max="9728" width="13.1640625" style="46" customWidth="1"/>
    <col min="9729" max="9729" width="79" style="46" customWidth="1"/>
    <col min="9730" max="9730" width="3.83203125" style="46" customWidth="1"/>
    <col min="9731" max="9743" width="12.5" style="46" customWidth="1"/>
    <col min="9744" max="9744" width="8.5" style="46" customWidth="1"/>
    <col min="9745" max="9983" width="10.6640625" style="46"/>
    <col min="9984" max="9984" width="13.1640625" style="46" customWidth="1"/>
    <col min="9985" max="9985" width="79" style="46" customWidth="1"/>
    <col min="9986" max="9986" width="3.83203125" style="46" customWidth="1"/>
    <col min="9987" max="9999" width="12.5" style="46" customWidth="1"/>
    <col min="10000" max="10000" width="8.5" style="46" customWidth="1"/>
    <col min="10001" max="10239" width="10.6640625" style="46"/>
    <col min="10240" max="10240" width="13.1640625" style="46" customWidth="1"/>
    <col min="10241" max="10241" width="79" style="46" customWidth="1"/>
    <col min="10242" max="10242" width="3.83203125" style="46" customWidth="1"/>
    <col min="10243" max="10255" width="12.5" style="46" customWidth="1"/>
    <col min="10256" max="10256" width="8.5" style="46" customWidth="1"/>
    <col min="10257" max="10495" width="10.6640625" style="46"/>
    <col min="10496" max="10496" width="13.1640625" style="46" customWidth="1"/>
    <col min="10497" max="10497" width="79" style="46" customWidth="1"/>
    <col min="10498" max="10498" width="3.83203125" style="46" customWidth="1"/>
    <col min="10499" max="10511" width="12.5" style="46" customWidth="1"/>
    <col min="10512" max="10512" width="8.5" style="46" customWidth="1"/>
    <col min="10513" max="10751" width="10.6640625" style="46"/>
    <col min="10752" max="10752" width="13.1640625" style="46" customWidth="1"/>
    <col min="10753" max="10753" width="79" style="46" customWidth="1"/>
    <col min="10754" max="10754" width="3.83203125" style="46" customWidth="1"/>
    <col min="10755" max="10767" width="12.5" style="46" customWidth="1"/>
    <col min="10768" max="10768" width="8.5" style="46" customWidth="1"/>
    <col min="10769" max="11007" width="10.6640625" style="46"/>
    <col min="11008" max="11008" width="13.1640625" style="46" customWidth="1"/>
    <col min="11009" max="11009" width="79" style="46" customWidth="1"/>
    <col min="11010" max="11010" width="3.83203125" style="46" customWidth="1"/>
    <col min="11011" max="11023" width="12.5" style="46" customWidth="1"/>
    <col min="11024" max="11024" width="8.5" style="46" customWidth="1"/>
    <col min="11025" max="11263" width="10.6640625" style="46"/>
    <col min="11264" max="11264" width="13.1640625" style="46" customWidth="1"/>
    <col min="11265" max="11265" width="79" style="46" customWidth="1"/>
    <col min="11266" max="11266" width="3.83203125" style="46" customWidth="1"/>
    <col min="11267" max="11279" width="12.5" style="46" customWidth="1"/>
    <col min="11280" max="11280" width="8.5" style="46" customWidth="1"/>
    <col min="11281" max="11519" width="10.6640625" style="46"/>
    <col min="11520" max="11520" width="13.1640625" style="46" customWidth="1"/>
    <col min="11521" max="11521" width="79" style="46" customWidth="1"/>
    <col min="11522" max="11522" width="3.83203125" style="46" customWidth="1"/>
    <col min="11523" max="11535" width="12.5" style="46" customWidth="1"/>
    <col min="11536" max="11536" width="8.5" style="46" customWidth="1"/>
    <col min="11537" max="11775" width="10.6640625" style="46"/>
    <col min="11776" max="11776" width="13.1640625" style="46" customWidth="1"/>
    <col min="11777" max="11777" width="79" style="46" customWidth="1"/>
    <col min="11778" max="11778" width="3.83203125" style="46" customWidth="1"/>
    <col min="11779" max="11791" width="12.5" style="46" customWidth="1"/>
    <col min="11792" max="11792" width="8.5" style="46" customWidth="1"/>
    <col min="11793" max="12031" width="10.6640625" style="46"/>
    <col min="12032" max="12032" width="13.1640625" style="46" customWidth="1"/>
    <col min="12033" max="12033" width="79" style="46" customWidth="1"/>
    <col min="12034" max="12034" width="3.83203125" style="46" customWidth="1"/>
    <col min="12035" max="12047" width="12.5" style="46" customWidth="1"/>
    <col min="12048" max="12048" width="8.5" style="46" customWidth="1"/>
    <col min="12049" max="12287" width="10.6640625" style="46"/>
    <col min="12288" max="12288" width="13.1640625" style="46" customWidth="1"/>
    <col min="12289" max="12289" width="79" style="46" customWidth="1"/>
    <col min="12290" max="12290" width="3.83203125" style="46" customWidth="1"/>
    <col min="12291" max="12303" width="12.5" style="46" customWidth="1"/>
    <col min="12304" max="12304" width="8.5" style="46" customWidth="1"/>
    <col min="12305" max="12543" width="10.6640625" style="46"/>
    <col min="12544" max="12544" width="13.1640625" style="46" customWidth="1"/>
    <col min="12545" max="12545" width="79" style="46" customWidth="1"/>
    <col min="12546" max="12546" width="3.83203125" style="46" customWidth="1"/>
    <col min="12547" max="12559" width="12.5" style="46" customWidth="1"/>
    <col min="12560" max="12560" width="8.5" style="46" customWidth="1"/>
    <col min="12561" max="12799" width="10.6640625" style="46"/>
    <col min="12800" max="12800" width="13.1640625" style="46" customWidth="1"/>
    <col min="12801" max="12801" width="79" style="46" customWidth="1"/>
    <col min="12802" max="12802" width="3.83203125" style="46" customWidth="1"/>
    <col min="12803" max="12815" width="12.5" style="46" customWidth="1"/>
    <col min="12816" max="12816" width="8.5" style="46" customWidth="1"/>
    <col min="12817" max="13055" width="10.6640625" style="46"/>
    <col min="13056" max="13056" width="13.1640625" style="46" customWidth="1"/>
    <col min="13057" max="13057" width="79" style="46" customWidth="1"/>
    <col min="13058" max="13058" width="3.83203125" style="46" customWidth="1"/>
    <col min="13059" max="13071" width="12.5" style="46" customWidth="1"/>
    <col min="13072" max="13072" width="8.5" style="46" customWidth="1"/>
    <col min="13073" max="13311" width="10.6640625" style="46"/>
    <col min="13312" max="13312" width="13.1640625" style="46" customWidth="1"/>
    <col min="13313" max="13313" width="79" style="46" customWidth="1"/>
    <col min="13314" max="13314" width="3.83203125" style="46" customWidth="1"/>
    <col min="13315" max="13327" width="12.5" style="46" customWidth="1"/>
    <col min="13328" max="13328" width="8.5" style="46" customWidth="1"/>
    <col min="13329" max="13567" width="10.6640625" style="46"/>
    <col min="13568" max="13568" width="13.1640625" style="46" customWidth="1"/>
    <col min="13569" max="13569" width="79" style="46" customWidth="1"/>
    <col min="13570" max="13570" width="3.83203125" style="46" customWidth="1"/>
    <col min="13571" max="13583" width="12.5" style="46" customWidth="1"/>
    <col min="13584" max="13584" width="8.5" style="46" customWidth="1"/>
    <col min="13585" max="13823" width="10.6640625" style="46"/>
    <col min="13824" max="13824" width="13.1640625" style="46" customWidth="1"/>
    <col min="13825" max="13825" width="79" style="46" customWidth="1"/>
    <col min="13826" max="13826" width="3.83203125" style="46" customWidth="1"/>
    <col min="13827" max="13839" width="12.5" style="46" customWidth="1"/>
    <col min="13840" max="13840" width="8.5" style="46" customWidth="1"/>
    <col min="13841" max="14079" width="10.6640625" style="46"/>
    <col min="14080" max="14080" width="13.1640625" style="46" customWidth="1"/>
    <col min="14081" max="14081" width="79" style="46" customWidth="1"/>
    <col min="14082" max="14082" width="3.83203125" style="46" customWidth="1"/>
    <col min="14083" max="14095" width="12.5" style="46" customWidth="1"/>
    <col min="14096" max="14096" width="8.5" style="46" customWidth="1"/>
    <col min="14097" max="14335" width="10.6640625" style="46"/>
    <col min="14336" max="14336" width="13.1640625" style="46" customWidth="1"/>
    <col min="14337" max="14337" width="79" style="46" customWidth="1"/>
    <col min="14338" max="14338" width="3.83203125" style="46" customWidth="1"/>
    <col min="14339" max="14351" width="12.5" style="46" customWidth="1"/>
    <col min="14352" max="14352" width="8.5" style="46" customWidth="1"/>
    <col min="14353" max="14591" width="10.6640625" style="46"/>
    <col min="14592" max="14592" width="13.1640625" style="46" customWidth="1"/>
    <col min="14593" max="14593" width="79" style="46" customWidth="1"/>
    <col min="14594" max="14594" width="3.83203125" style="46" customWidth="1"/>
    <col min="14595" max="14607" width="12.5" style="46" customWidth="1"/>
    <col min="14608" max="14608" width="8.5" style="46" customWidth="1"/>
    <col min="14609" max="14847" width="10.6640625" style="46"/>
    <col min="14848" max="14848" width="13.1640625" style="46" customWidth="1"/>
    <col min="14849" max="14849" width="79" style="46" customWidth="1"/>
    <col min="14850" max="14850" width="3.83203125" style="46" customWidth="1"/>
    <col min="14851" max="14863" width="12.5" style="46" customWidth="1"/>
    <col min="14864" max="14864" width="8.5" style="46" customWidth="1"/>
    <col min="14865" max="15103" width="10.6640625" style="46"/>
    <col min="15104" max="15104" width="13.1640625" style="46" customWidth="1"/>
    <col min="15105" max="15105" width="79" style="46" customWidth="1"/>
    <col min="15106" max="15106" width="3.83203125" style="46" customWidth="1"/>
    <col min="15107" max="15119" width="12.5" style="46" customWidth="1"/>
    <col min="15120" max="15120" width="8.5" style="46" customWidth="1"/>
    <col min="15121" max="15359" width="10.6640625" style="46"/>
    <col min="15360" max="15360" width="13.1640625" style="46" customWidth="1"/>
    <col min="15361" max="15361" width="79" style="46" customWidth="1"/>
    <col min="15362" max="15362" width="3.83203125" style="46" customWidth="1"/>
    <col min="15363" max="15375" width="12.5" style="46" customWidth="1"/>
    <col min="15376" max="15376" width="8.5" style="46" customWidth="1"/>
    <col min="15377" max="15615" width="10.6640625" style="46"/>
    <col min="15616" max="15616" width="13.1640625" style="46" customWidth="1"/>
    <col min="15617" max="15617" width="79" style="46" customWidth="1"/>
    <col min="15618" max="15618" width="3.83203125" style="46" customWidth="1"/>
    <col min="15619" max="15631" width="12.5" style="46" customWidth="1"/>
    <col min="15632" max="15632" width="8.5" style="46" customWidth="1"/>
    <col min="15633" max="15871" width="10.6640625" style="46"/>
    <col min="15872" max="15872" width="13.1640625" style="46" customWidth="1"/>
    <col min="15873" max="15873" width="79" style="46" customWidth="1"/>
    <col min="15874" max="15874" width="3.83203125" style="46" customWidth="1"/>
    <col min="15875" max="15887" width="12.5" style="46" customWidth="1"/>
    <col min="15888" max="15888" width="8.5" style="46" customWidth="1"/>
    <col min="15889" max="16127" width="10.6640625" style="46"/>
    <col min="16128" max="16128" width="13.1640625" style="46" customWidth="1"/>
    <col min="16129" max="16129" width="79" style="46" customWidth="1"/>
    <col min="16130" max="16130" width="3.83203125" style="46" customWidth="1"/>
    <col min="16131" max="16143" width="12.5" style="46" customWidth="1"/>
    <col min="16144" max="16144" width="8.5" style="46" customWidth="1"/>
    <col min="16145" max="16384" width="10.6640625" style="46"/>
  </cols>
  <sheetData>
    <row r="1" spans="1:19" ht="13.5" thickBot="1" x14ac:dyDescent="0.25">
      <c r="A1" s="246" t="s">
        <v>35</v>
      </c>
      <c r="B1" s="247">
        <v>3</v>
      </c>
      <c r="C1" s="248"/>
      <c r="D1" s="249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pans="1:19" ht="13.5" thickTop="1" x14ac:dyDescent="0.2">
      <c r="A2" s="251" t="str">
        <f>CONCATENATE($B$1,"|",B2)</f>
        <v>3|1</v>
      </c>
      <c r="B2" s="252">
        <v>1</v>
      </c>
      <c r="C2" s="253" t="s">
        <v>154</v>
      </c>
      <c r="D2" s="254">
        <v>1</v>
      </c>
      <c r="E2" s="255">
        <v>50</v>
      </c>
      <c r="F2" s="255">
        <v>50</v>
      </c>
      <c r="G2" s="255"/>
      <c r="H2" s="255"/>
      <c r="I2" s="255"/>
      <c r="J2" s="256"/>
      <c r="K2" s="256"/>
      <c r="L2" s="256"/>
      <c r="M2" s="256"/>
      <c r="N2" s="256"/>
      <c r="O2" s="256"/>
      <c r="P2" s="256"/>
      <c r="S2" s="46">
        <f>SUM(E2:P2)</f>
        <v>100</v>
      </c>
    </row>
    <row r="3" spans="1:19" x14ac:dyDescent="0.2">
      <c r="A3" s="257" t="str">
        <f t="shared" ref="A3:A12" si="0">CONCATENATE($B$1,"|",B3)</f>
        <v>3|2</v>
      </c>
      <c r="B3" s="258" t="s">
        <v>91</v>
      </c>
      <c r="C3" s="253" t="s">
        <v>150</v>
      </c>
      <c r="D3" s="254">
        <v>2</v>
      </c>
      <c r="E3" s="255">
        <v>50</v>
      </c>
      <c r="F3" s="255">
        <v>50</v>
      </c>
      <c r="G3" s="255"/>
      <c r="H3" s="255"/>
      <c r="I3" s="255"/>
      <c r="J3" s="259"/>
      <c r="K3" s="259"/>
      <c r="L3" s="259"/>
      <c r="M3" s="259"/>
      <c r="N3" s="259"/>
      <c r="O3" s="259"/>
      <c r="P3" s="259"/>
      <c r="S3" s="46">
        <f t="shared" ref="S3:S12" si="1">SUM(E3:P3)</f>
        <v>100</v>
      </c>
    </row>
    <row r="4" spans="1:19" x14ac:dyDescent="0.2">
      <c r="A4" s="257" t="str">
        <f t="shared" si="0"/>
        <v>3|3</v>
      </c>
      <c r="B4" s="258" t="s">
        <v>94</v>
      </c>
      <c r="C4" s="253" t="s">
        <v>155</v>
      </c>
      <c r="D4" s="254">
        <v>3</v>
      </c>
      <c r="E4" s="260">
        <v>25</v>
      </c>
      <c r="F4" s="260">
        <v>60</v>
      </c>
      <c r="G4" s="260">
        <v>15</v>
      </c>
      <c r="H4" s="260"/>
      <c r="I4" s="260"/>
      <c r="J4" s="259"/>
      <c r="K4" s="259"/>
      <c r="L4" s="259"/>
      <c r="M4" s="259"/>
      <c r="N4" s="259"/>
      <c r="O4" s="259"/>
      <c r="P4" s="259"/>
      <c r="S4" s="46">
        <f t="shared" si="1"/>
        <v>100</v>
      </c>
    </row>
    <row r="5" spans="1:19" x14ac:dyDescent="0.2">
      <c r="A5" s="257" t="str">
        <f t="shared" si="0"/>
        <v>3|4</v>
      </c>
      <c r="B5" s="258" t="s">
        <v>95</v>
      </c>
      <c r="C5" s="253" t="s">
        <v>151</v>
      </c>
      <c r="D5" s="254">
        <v>4</v>
      </c>
      <c r="E5" s="260"/>
      <c r="F5" s="260">
        <v>50</v>
      </c>
      <c r="G5" s="260">
        <v>50</v>
      </c>
      <c r="H5" s="260"/>
      <c r="I5" s="260"/>
      <c r="J5" s="259"/>
      <c r="K5" s="259"/>
      <c r="L5" s="259"/>
      <c r="M5" s="259"/>
      <c r="N5" s="259"/>
      <c r="O5" s="259"/>
      <c r="P5" s="259"/>
      <c r="S5" s="46">
        <f t="shared" si="1"/>
        <v>100</v>
      </c>
    </row>
    <row r="6" spans="1:19" x14ac:dyDescent="0.2">
      <c r="A6" s="257" t="str">
        <f t="shared" si="0"/>
        <v>3|5</v>
      </c>
      <c r="B6" s="258" t="s">
        <v>90</v>
      </c>
      <c r="C6" s="253" t="s">
        <v>152</v>
      </c>
      <c r="D6" s="254">
        <v>5</v>
      </c>
      <c r="E6" s="260">
        <v>20</v>
      </c>
      <c r="F6" s="260">
        <v>50</v>
      </c>
      <c r="G6" s="260">
        <v>30</v>
      </c>
      <c r="H6" s="260"/>
      <c r="I6" s="260"/>
      <c r="J6" s="259"/>
      <c r="K6" s="259"/>
      <c r="L6" s="259"/>
      <c r="M6" s="259"/>
      <c r="N6" s="259"/>
      <c r="O6" s="259"/>
      <c r="P6" s="259"/>
      <c r="S6" s="46">
        <f t="shared" si="1"/>
        <v>100</v>
      </c>
    </row>
    <row r="7" spans="1:19" x14ac:dyDescent="0.2">
      <c r="A7" s="257" t="str">
        <f t="shared" si="0"/>
        <v>3|6</v>
      </c>
      <c r="B7" s="258" t="s">
        <v>96</v>
      </c>
      <c r="C7" s="253" t="s">
        <v>298</v>
      </c>
      <c r="D7" s="254">
        <v>3</v>
      </c>
      <c r="E7" s="260"/>
      <c r="F7" s="260">
        <v>50</v>
      </c>
      <c r="G7" s="260">
        <v>50</v>
      </c>
      <c r="H7" s="260"/>
      <c r="I7" s="260"/>
      <c r="J7" s="259"/>
      <c r="K7" s="259"/>
      <c r="L7" s="259"/>
      <c r="M7" s="259"/>
      <c r="N7" s="259"/>
      <c r="O7" s="259"/>
      <c r="P7" s="259"/>
      <c r="S7" s="46">
        <f t="shared" si="1"/>
        <v>100</v>
      </c>
    </row>
    <row r="8" spans="1:19" x14ac:dyDescent="0.2">
      <c r="A8" s="257" t="str">
        <f t="shared" si="0"/>
        <v>3|7</v>
      </c>
      <c r="B8" s="258" t="s">
        <v>149</v>
      </c>
      <c r="C8" s="253" t="s">
        <v>156</v>
      </c>
      <c r="D8" s="254">
        <v>5</v>
      </c>
      <c r="E8" s="260"/>
      <c r="F8" s="260">
        <v>20</v>
      </c>
      <c r="G8" s="260">
        <v>80</v>
      </c>
      <c r="H8" s="260"/>
      <c r="I8" s="260"/>
      <c r="J8" s="259"/>
      <c r="K8" s="259"/>
      <c r="L8" s="259"/>
      <c r="M8" s="259"/>
      <c r="N8" s="259"/>
      <c r="O8" s="259"/>
      <c r="P8" s="259"/>
      <c r="S8" s="46">
        <f t="shared" si="1"/>
        <v>100</v>
      </c>
    </row>
    <row r="9" spans="1:19" x14ac:dyDescent="0.2">
      <c r="A9" s="257" t="str">
        <f t="shared" si="0"/>
        <v>3|8</v>
      </c>
      <c r="B9" s="258" t="s">
        <v>108</v>
      </c>
      <c r="C9" s="253" t="s">
        <v>157</v>
      </c>
      <c r="D9" s="254">
        <v>6</v>
      </c>
      <c r="E9" s="260"/>
      <c r="F9" s="260">
        <v>50</v>
      </c>
      <c r="G9" s="260">
        <v>50</v>
      </c>
      <c r="H9" s="260"/>
      <c r="I9" s="260"/>
      <c r="J9" s="259"/>
      <c r="K9" s="259"/>
      <c r="L9" s="259"/>
      <c r="M9" s="259"/>
      <c r="N9" s="259"/>
      <c r="O9" s="259"/>
      <c r="P9" s="259"/>
      <c r="S9" s="46">
        <f t="shared" si="1"/>
        <v>100</v>
      </c>
    </row>
    <row r="10" spans="1:19" x14ac:dyDescent="0.2">
      <c r="A10" s="257" t="str">
        <f t="shared" si="0"/>
        <v>3|9</v>
      </c>
      <c r="B10" s="258" t="s">
        <v>158</v>
      </c>
      <c r="C10" s="253" t="s">
        <v>159</v>
      </c>
      <c r="D10" s="254">
        <v>6</v>
      </c>
      <c r="E10" s="260">
        <v>30</v>
      </c>
      <c r="F10" s="260">
        <v>40</v>
      </c>
      <c r="G10" s="260">
        <v>30</v>
      </c>
      <c r="H10" s="260"/>
      <c r="I10" s="260"/>
      <c r="J10" s="259"/>
      <c r="K10" s="259"/>
      <c r="L10" s="259"/>
      <c r="M10" s="259"/>
      <c r="N10" s="259"/>
      <c r="O10" s="259"/>
      <c r="P10" s="259"/>
      <c r="S10" s="46">
        <f t="shared" si="1"/>
        <v>100</v>
      </c>
    </row>
    <row r="11" spans="1:19" x14ac:dyDescent="0.2">
      <c r="A11" s="257" t="str">
        <f t="shared" si="0"/>
        <v>3|10</v>
      </c>
      <c r="B11" s="258" t="s">
        <v>160</v>
      </c>
      <c r="C11" s="253" t="s">
        <v>153</v>
      </c>
      <c r="D11" s="254"/>
      <c r="E11" s="260">
        <v>60</v>
      </c>
      <c r="F11" s="260">
        <v>40</v>
      </c>
      <c r="G11" s="260"/>
      <c r="H11" s="260"/>
      <c r="I11" s="260"/>
      <c r="J11" s="259"/>
      <c r="K11" s="259"/>
      <c r="L11" s="259"/>
      <c r="M11" s="259"/>
      <c r="N11" s="259"/>
      <c r="O11" s="259"/>
      <c r="P11" s="259"/>
      <c r="S11" s="46">
        <f t="shared" si="1"/>
        <v>100</v>
      </c>
    </row>
    <row r="12" spans="1:19" x14ac:dyDescent="0.2">
      <c r="A12" s="257" t="str">
        <f t="shared" si="0"/>
        <v>3|11</v>
      </c>
      <c r="B12" s="258" t="s">
        <v>164</v>
      </c>
      <c r="C12" s="253" t="s">
        <v>169</v>
      </c>
      <c r="D12" s="254"/>
      <c r="E12" s="260">
        <v>15</v>
      </c>
      <c r="F12" s="260">
        <v>60</v>
      </c>
      <c r="G12" s="260">
        <v>25</v>
      </c>
      <c r="H12" s="260"/>
      <c r="I12" s="260"/>
      <c r="J12" s="259"/>
      <c r="K12" s="259"/>
      <c r="L12" s="259"/>
      <c r="M12" s="259"/>
      <c r="N12" s="259"/>
      <c r="O12" s="259"/>
      <c r="P12" s="259"/>
      <c r="S12" s="46">
        <f t="shared" si="1"/>
        <v>100</v>
      </c>
    </row>
    <row r="13" spans="1:19" ht="5.45" customHeight="1" x14ac:dyDescent="0.2"/>
    <row r="14" spans="1:19" ht="13.5" thickBot="1" x14ac:dyDescent="0.25">
      <c r="A14" s="261" t="s">
        <v>35</v>
      </c>
      <c r="B14" s="262">
        <v>4</v>
      </c>
      <c r="C14" s="263"/>
      <c r="D14" s="264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</row>
    <row r="15" spans="1:19" ht="13.5" thickTop="1" x14ac:dyDescent="0.2">
      <c r="A15" s="265" t="str">
        <f>CONCATENATE($B$14,"|",B15)</f>
        <v>4|1</v>
      </c>
      <c r="B15" s="252">
        <v>1</v>
      </c>
      <c r="C15" s="253" t="s">
        <v>154</v>
      </c>
      <c r="D15" s="254">
        <v>1</v>
      </c>
      <c r="E15" s="255">
        <v>45</v>
      </c>
      <c r="F15" s="255">
        <v>45</v>
      </c>
      <c r="G15" s="255">
        <v>10</v>
      </c>
      <c r="H15" s="255"/>
      <c r="I15" s="255"/>
      <c r="J15" s="256"/>
      <c r="K15" s="256"/>
      <c r="L15" s="256"/>
      <c r="M15" s="256"/>
      <c r="N15" s="256"/>
      <c r="O15" s="256"/>
      <c r="P15" s="256"/>
      <c r="S15" s="46">
        <f>SUM(E15:P15)</f>
        <v>100</v>
      </c>
    </row>
    <row r="16" spans="1:19" x14ac:dyDescent="0.2">
      <c r="A16" s="257" t="str">
        <f t="shared" ref="A16:A25" si="2">CONCATENATE($B$14,"|",B16)</f>
        <v>4|2</v>
      </c>
      <c r="B16" s="258" t="s">
        <v>91</v>
      </c>
      <c r="C16" s="253" t="s">
        <v>150</v>
      </c>
      <c r="D16" s="254">
        <v>2</v>
      </c>
      <c r="E16" s="255">
        <v>40</v>
      </c>
      <c r="F16" s="255">
        <v>40</v>
      </c>
      <c r="G16" s="255">
        <v>20</v>
      </c>
      <c r="H16" s="255"/>
      <c r="I16" s="255"/>
      <c r="J16" s="259"/>
      <c r="K16" s="259"/>
      <c r="L16" s="259"/>
      <c r="M16" s="259"/>
      <c r="N16" s="259"/>
      <c r="O16" s="259"/>
      <c r="P16" s="259"/>
      <c r="S16" s="46">
        <f t="shared" ref="S16:S25" si="3">SUM(E16:P16)</f>
        <v>100</v>
      </c>
    </row>
    <row r="17" spans="1:19" x14ac:dyDescent="0.2">
      <c r="A17" s="257" t="str">
        <f t="shared" si="2"/>
        <v>4|3</v>
      </c>
      <c r="B17" s="258" t="s">
        <v>94</v>
      </c>
      <c r="C17" s="253" t="s">
        <v>155</v>
      </c>
      <c r="D17" s="254">
        <v>3</v>
      </c>
      <c r="E17" s="260">
        <v>20</v>
      </c>
      <c r="F17" s="260">
        <v>35</v>
      </c>
      <c r="G17" s="260">
        <v>35</v>
      </c>
      <c r="H17" s="260">
        <v>10</v>
      </c>
      <c r="I17" s="260"/>
      <c r="J17" s="259"/>
      <c r="K17" s="259"/>
      <c r="L17" s="259"/>
      <c r="M17" s="259"/>
      <c r="N17" s="259"/>
      <c r="O17" s="259"/>
      <c r="P17" s="259"/>
      <c r="S17" s="46">
        <f t="shared" si="3"/>
        <v>100</v>
      </c>
    </row>
    <row r="18" spans="1:19" x14ac:dyDescent="0.2">
      <c r="A18" s="257" t="str">
        <f t="shared" si="2"/>
        <v>4|4</v>
      </c>
      <c r="B18" s="258" t="s">
        <v>95</v>
      </c>
      <c r="C18" s="253" t="s">
        <v>151</v>
      </c>
      <c r="D18" s="254">
        <v>4</v>
      </c>
      <c r="E18" s="260"/>
      <c r="F18" s="260">
        <v>35</v>
      </c>
      <c r="G18" s="260">
        <v>35</v>
      </c>
      <c r="H18" s="260">
        <v>30</v>
      </c>
      <c r="I18" s="260"/>
      <c r="J18" s="259"/>
      <c r="K18" s="259"/>
      <c r="L18" s="259"/>
      <c r="M18" s="259"/>
      <c r="N18" s="259"/>
      <c r="O18" s="259"/>
      <c r="P18" s="259"/>
      <c r="S18" s="46">
        <f t="shared" si="3"/>
        <v>100</v>
      </c>
    </row>
    <row r="19" spans="1:19" x14ac:dyDescent="0.2">
      <c r="A19" s="257" t="str">
        <f t="shared" si="2"/>
        <v>4|5</v>
      </c>
      <c r="B19" s="258" t="s">
        <v>90</v>
      </c>
      <c r="C19" s="253" t="s">
        <v>152</v>
      </c>
      <c r="D19" s="254">
        <v>5</v>
      </c>
      <c r="E19" s="260">
        <v>10</v>
      </c>
      <c r="F19" s="260">
        <v>35</v>
      </c>
      <c r="G19" s="260">
        <v>35</v>
      </c>
      <c r="H19" s="260">
        <v>20</v>
      </c>
      <c r="I19" s="260"/>
      <c r="J19" s="259"/>
      <c r="K19" s="259"/>
      <c r="L19" s="259"/>
      <c r="M19" s="259"/>
      <c r="N19" s="259"/>
      <c r="O19" s="259"/>
      <c r="P19" s="259"/>
      <c r="S19" s="46">
        <f t="shared" si="3"/>
        <v>100</v>
      </c>
    </row>
    <row r="20" spans="1:19" x14ac:dyDescent="0.2">
      <c r="A20" s="257" t="str">
        <f t="shared" si="2"/>
        <v>4|6</v>
      </c>
      <c r="B20" s="258" t="s">
        <v>96</v>
      </c>
      <c r="C20" s="253" t="s">
        <v>298</v>
      </c>
      <c r="D20" s="254">
        <v>3</v>
      </c>
      <c r="E20" s="260"/>
      <c r="F20" s="260">
        <v>35</v>
      </c>
      <c r="G20" s="260">
        <v>35</v>
      </c>
      <c r="H20" s="260">
        <v>30</v>
      </c>
      <c r="I20" s="260"/>
      <c r="J20" s="259"/>
      <c r="K20" s="259"/>
      <c r="L20" s="259"/>
      <c r="M20" s="259"/>
      <c r="N20" s="259"/>
      <c r="O20" s="259"/>
      <c r="P20" s="259"/>
      <c r="S20" s="46">
        <f t="shared" si="3"/>
        <v>100</v>
      </c>
    </row>
    <row r="21" spans="1:19" x14ac:dyDescent="0.2">
      <c r="A21" s="257" t="str">
        <f t="shared" si="2"/>
        <v>4|7</v>
      </c>
      <c r="B21" s="258" t="s">
        <v>149</v>
      </c>
      <c r="C21" s="253" t="s">
        <v>156</v>
      </c>
      <c r="D21" s="254">
        <v>5</v>
      </c>
      <c r="E21" s="260"/>
      <c r="F21" s="260">
        <v>15</v>
      </c>
      <c r="G21" s="260">
        <v>60</v>
      </c>
      <c r="H21" s="260">
        <v>25</v>
      </c>
      <c r="I21" s="260"/>
      <c r="J21" s="259"/>
      <c r="K21" s="259"/>
      <c r="L21" s="259"/>
      <c r="M21" s="259"/>
      <c r="N21" s="259"/>
      <c r="O21" s="259"/>
      <c r="P21" s="259"/>
      <c r="S21" s="46">
        <f t="shared" si="3"/>
        <v>100</v>
      </c>
    </row>
    <row r="22" spans="1:19" x14ac:dyDescent="0.2">
      <c r="A22" s="257" t="str">
        <f t="shared" si="2"/>
        <v>4|8</v>
      </c>
      <c r="B22" s="258" t="s">
        <v>108</v>
      </c>
      <c r="C22" s="253" t="s">
        <v>157</v>
      </c>
      <c r="D22" s="254">
        <v>6</v>
      </c>
      <c r="E22" s="260"/>
      <c r="F22" s="260">
        <v>30</v>
      </c>
      <c r="G22" s="260">
        <v>40</v>
      </c>
      <c r="H22" s="260">
        <v>30</v>
      </c>
      <c r="I22" s="260"/>
      <c r="J22" s="259"/>
      <c r="K22" s="259"/>
      <c r="L22" s="259"/>
      <c r="M22" s="259"/>
      <c r="N22" s="259"/>
      <c r="O22" s="259"/>
      <c r="P22" s="259"/>
      <c r="S22" s="46">
        <f t="shared" si="3"/>
        <v>100</v>
      </c>
    </row>
    <row r="23" spans="1:19" x14ac:dyDescent="0.2">
      <c r="A23" s="257" t="str">
        <f t="shared" si="2"/>
        <v>4|9</v>
      </c>
      <c r="B23" s="258" t="s">
        <v>158</v>
      </c>
      <c r="C23" s="253" t="s">
        <v>159</v>
      </c>
      <c r="D23" s="254">
        <v>6</v>
      </c>
      <c r="E23" s="260">
        <v>10</v>
      </c>
      <c r="F23" s="260">
        <v>35</v>
      </c>
      <c r="G23" s="260">
        <v>35</v>
      </c>
      <c r="H23" s="260">
        <v>20</v>
      </c>
      <c r="I23" s="260"/>
      <c r="J23" s="259"/>
      <c r="K23" s="259"/>
      <c r="L23" s="259"/>
      <c r="M23" s="259"/>
      <c r="N23" s="259"/>
      <c r="O23" s="259"/>
      <c r="P23" s="259"/>
      <c r="S23" s="46">
        <f t="shared" si="3"/>
        <v>100</v>
      </c>
    </row>
    <row r="24" spans="1:19" x14ac:dyDescent="0.2">
      <c r="A24" s="257" t="str">
        <f t="shared" si="2"/>
        <v>4|10</v>
      </c>
      <c r="B24" s="258" t="s">
        <v>160</v>
      </c>
      <c r="C24" s="253" t="s">
        <v>153</v>
      </c>
      <c r="D24" s="254"/>
      <c r="E24" s="260">
        <v>40</v>
      </c>
      <c r="F24" s="260">
        <v>40</v>
      </c>
      <c r="G24" s="260">
        <v>20</v>
      </c>
      <c r="H24" s="260"/>
      <c r="I24" s="260"/>
      <c r="J24" s="259"/>
      <c r="K24" s="259"/>
      <c r="L24" s="259"/>
      <c r="M24" s="259"/>
      <c r="N24" s="259"/>
      <c r="O24" s="259"/>
      <c r="P24" s="259"/>
      <c r="S24" s="46">
        <f t="shared" si="3"/>
        <v>100</v>
      </c>
    </row>
    <row r="25" spans="1:19" x14ac:dyDescent="0.2">
      <c r="A25" s="266" t="str">
        <f t="shared" si="2"/>
        <v>4|11</v>
      </c>
      <c r="B25" s="258" t="s">
        <v>164</v>
      </c>
      <c r="C25" s="253" t="s">
        <v>169</v>
      </c>
      <c r="D25" s="254"/>
      <c r="E25" s="260">
        <v>10</v>
      </c>
      <c r="F25" s="260">
        <v>35</v>
      </c>
      <c r="G25" s="260">
        <v>35</v>
      </c>
      <c r="H25" s="260">
        <v>20</v>
      </c>
      <c r="I25" s="260"/>
      <c r="J25" s="259"/>
      <c r="K25" s="259"/>
      <c r="L25" s="259"/>
      <c r="M25" s="259"/>
      <c r="N25" s="259"/>
      <c r="O25" s="259"/>
      <c r="P25" s="259"/>
      <c r="S25" s="46">
        <f t="shared" si="3"/>
        <v>100</v>
      </c>
    </row>
    <row r="26" spans="1:19" ht="5.45" customHeight="1" x14ac:dyDescent="0.2"/>
    <row r="27" spans="1:19" ht="13.5" thickBot="1" x14ac:dyDescent="0.25">
      <c r="A27" s="261" t="s">
        <v>35</v>
      </c>
      <c r="B27" s="262">
        <v>5</v>
      </c>
      <c r="C27" s="263"/>
      <c r="D27" s="264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</row>
    <row r="28" spans="1:19" ht="13.5" thickTop="1" x14ac:dyDescent="0.2">
      <c r="A28" s="265" t="str">
        <f>CONCATENATE($B$27,"|",B28)</f>
        <v>5|1</v>
      </c>
      <c r="B28" s="252">
        <v>1</v>
      </c>
      <c r="C28" s="253" t="s">
        <v>154</v>
      </c>
      <c r="D28" s="254">
        <v>1</v>
      </c>
      <c r="E28" s="255">
        <v>40</v>
      </c>
      <c r="F28" s="255">
        <v>30</v>
      </c>
      <c r="G28" s="255">
        <v>25</v>
      </c>
      <c r="H28" s="255">
        <v>5</v>
      </c>
      <c r="I28" s="255"/>
      <c r="J28" s="256"/>
      <c r="K28" s="256"/>
      <c r="L28" s="256"/>
      <c r="M28" s="256"/>
      <c r="N28" s="256"/>
      <c r="O28" s="256"/>
      <c r="P28" s="256"/>
      <c r="S28" s="46">
        <f>SUM(E28:P28)</f>
        <v>100</v>
      </c>
    </row>
    <row r="29" spans="1:19" x14ac:dyDescent="0.2">
      <c r="A29" s="257" t="str">
        <f t="shared" ref="A29:A38" si="4">CONCATENATE($B$27,"|",B29)</f>
        <v>5|2</v>
      </c>
      <c r="B29" s="258" t="s">
        <v>91</v>
      </c>
      <c r="C29" s="253" t="s">
        <v>150</v>
      </c>
      <c r="D29" s="254">
        <v>2</v>
      </c>
      <c r="E29" s="255">
        <v>30</v>
      </c>
      <c r="F29" s="255">
        <v>30</v>
      </c>
      <c r="G29" s="255">
        <v>30</v>
      </c>
      <c r="H29" s="255">
        <v>10</v>
      </c>
      <c r="I29" s="255"/>
      <c r="J29" s="259"/>
      <c r="K29" s="259"/>
      <c r="L29" s="259"/>
      <c r="M29" s="259"/>
      <c r="N29" s="259"/>
      <c r="O29" s="259"/>
      <c r="P29" s="259"/>
      <c r="S29" s="46">
        <f t="shared" ref="S29:S38" si="5">SUM(E29:P29)</f>
        <v>100</v>
      </c>
    </row>
    <row r="30" spans="1:19" x14ac:dyDescent="0.2">
      <c r="A30" s="257" t="str">
        <f t="shared" si="4"/>
        <v>5|3</v>
      </c>
      <c r="B30" s="258" t="s">
        <v>94</v>
      </c>
      <c r="C30" s="253" t="s">
        <v>155</v>
      </c>
      <c r="D30" s="254">
        <v>3</v>
      </c>
      <c r="E30" s="260">
        <v>10</v>
      </c>
      <c r="F30" s="260">
        <v>30</v>
      </c>
      <c r="G30" s="260">
        <v>30</v>
      </c>
      <c r="H30" s="260">
        <v>25</v>
      </c>
      <c r="I30" s="260">
        <v>5</v>
      </c>
      <c r="J30" s="259"/>
      <c r="K30" s="259"/>
      <c r="L30" s="259"/>
      <c r="M30" s="259"/>
      <c r="N30" s="259"/>
      <c r="O30" s="259"/>
      <c r="P30" s="259"/>
      <c r="S30" s="46">
        <f t="shared" si="5"/>
        <v>100</v>
      </c>
    </row>
    <row r="31" spans="1:19" x14ac:dyDescent="0.2">
      <c r="A31" s="257" t="str">
        <f t="shared" si="4"/>
        <v>5|4</v>
      </c>
      <c r="B31" s="258" t="s">
        <v>95</v>
      </c>
      <c r="C31" s="253" t="s">
        <v>151</v>
      </c>
      <c r="D31" s="254">
        <v>4</v>
      </c>
      <c r="E31" s="260"/>
      <c r="F31" s="260">
        <v>15</v>
      </c>
      <c r="G31" s="260">
        <v>30</v>
      </c>
      <c r="H31" s="260">
        <v>30</v>
      </c>
      <c r="I31" s="260">
        <v>25</v>
      </c>
      <c r="J31" s="259"/>
      <c r="K31" s="259"/>
      <c r="L31" s="259"/>
      <c r="M31" s="259"/>
      <c r="N31" s="259"/>
      <c r="O31" s="259"/>
      <c r="P31" s="259"/>
      <c r="S31" s="46">
        <f t="shared" si="5"/>
        <v>100</v>
      </c>
    </row>
    <row r="32" spans="1:19" x14ac:dyDescent="0.2">
      <c r="A32" s="257" t="str">
        <f t="shared" si="4"/>
        <v>5|5</v>
      </c>
      <c r="B32" s="258" t="s">
        <v>90</v>
      </c>
      <c r="C32" s="253" t="s">
        <v>152</v>
      </c>
      <c r="D32" s="254">
        <v>5</v>
      </c>
      <c r="E32" s="260"/>
      <c r="F32" s="260">
        <v>25</v>
      </c>
      <c r="G32" s="260">
        <v>35</v>
      </c>
      <c r="H32" s="260">
        <v>35</v>
      </c>
      <c r="I32" s="260">
        <v>5</v>
      </c>
      <c r="J32" s="259"/>
      <c r="K32" s="259"/>
      <c r="L32" s="259"/>
      <c r="M32" s="259"/>
      <c r="N32" s="259"/>
      <c r="O32" s="259"/>
      <c r="P32" s="259"/>
      <c r="S32" s="46">
        <f t="shared" si="5"/>
        <v>100</v>
      </c>
    </row>
    <row r="33" spans="1:19" x14ac:dyDescent="0.2">
      <c r="A33" s="257" t="str">
        <f t="shared" si="4"/>
        <v>5|6</v>
      </c>
      <c r="B33" s="258" t="s">
        <v>96</v>
      </c>
      <c r="C33" s="253" t="s">
        <v>298</v>
      </c>
      <c r="D33" s="254">
        <v>3</v>
      </c>
      <c r="E33" s="260"/>
      <c r="F33" s="260">
        <v>5</v>
      </c>
      <c r="G33" s="260">
        <v>40</v>
      </c>
      <c r="H33" s="260">
        <v>30</v>
      </c>
      <c r="I33" s="260">
        <v>25</v>
      </c>
      <c r="J33" s="259"/>
      <c r="K33" s="259"/>
      <c r="L33" s="259"/>
      <c r="M33" s="259"/>
      <c r="N33" s="259"/>
      <c r="O33" s="259"/>
      <c r="P33" s="259"/>
      <c r="S33" s="46">
        <f t="shared" si="5"/>
        <v>100</v>
      </c>
    </row>
    <row r="34" spans="1:19" x14ac:dyDescent="0.2">
      <c r="A34" s="257" t="str">
        <f t="shared" si="4"/>
        <v>5|7</v>
      </c>
      <c r="B34" s="258" t="s">
        <v>149</v>
      </c>
      <c r="C34" s="253" t="s">
        <v>156</v>
      </c>
      <c r="D34" s="254">
        <v>5</v>
      </c>
      <c r="E34" s="260"/>
      <c r="F34" s="260">
        <v>10</v>
      </c>
      <c r="G34" s="260">
        <v>35</v>
      </c>
      <c r="H34" s="260">
        <v>35</v>
      </c>
      <c r="I34" s="260">
        <v>20</v>
      </c>
      <c r="J34" s="259"/>
      <c r="K34" s="259"/>
      <c r="L34" s="259"/>
      <c r="M34" s="259"/>
      <c r="N34" s="259"/>
      <c r="O34" s="259"/>
      <c r="P34" s="259"/>
      <c r="S34" s="46">
        <f t="shared" si="5"/>
        <v>100</v>
      </c>
    </row>
    <row r="35" spans="1:19" x14ac:dyDescent="0.2">
      <c r="A35" s="257" t="str">
        <f t="shared" si="4"/>
        <v>5|8</v>
      </c>
      <c r="B35" s="258" t="s">
        <v>108</v>
      </c>
      <c r="C35" s="253" t="s">
        <v>157</v>
      </c>
      <c r="D35" s="254">
        <v>6</v>
      </c>
      <c r="E35" s="260"/>
      <c r="F35" s="260">
        <v>10</v>
      </c>
      <c r="G35" s="260">
        <v>35</v>
      </c>
      <c r="H35" s="260">
        <v>35</v>
      </c>
      <c r="I35" s="260">
        <v>20</v>
      </c>
      <c r="J35" s="259"/>
      <c r="K35" s="259"/>
      <c r="L35" s="259"/>
      <c r="M35" s="259"/>
      <c r="N35" s="259"/>
      <c r="O35" s="259"/>
      <c r="P35" s="259"/>
      <c r="S35" s="46">
        <f t="shared" si="5"/>
        <v>100</v>
      </c>
    </row>
    <row r="36" spans="1:19" x14ac:dyDescent="0.2">
      <c r="A36" s="257" t="str">
        <f t="shared" si="4"/>
        <v>5|9</v>
      </c>
      <c r="B36" s="258" t="s">
        <v>158</v>
      </c>
      <c r="C36" s="253" t="s">
        <v>159</v>
      </c>
      <c r="D36" s="254">
        <v>6</v>
      </c>
      <c r="E36" s="260">
        <v>5</v>
      </c>
      <c r="F36" s="260">
        <v>25</v>
      </c>
      <c r="G36" s="260">
        <v>25</v>
      </c>
      <c r="H36" s="260">
        <v>25</v>
      </c>
      <c r="I36" s="260">
        <v>20</v>
      </c>
      <c r="J36" s="259"/>
      <c r="K36" s="259"/>
      <c r="L36" s="259"/>
      <c r="M36" s="259"/>
      <c r="N36" s="259"/>
      <c r="O36" s="259"/>
      <c r="P36" s="259"/>
      <c r="S36" s="46">
        <f t="shared" si="5"/>
        <v>100</v>
      </c>
    </row>
    <row r="37" spans="1:19" x14ac:dyDescent="0.2">
      <c r="A37" s="257" t="str">
        <f t="shared" si="4"/>
        <v>5|10</v>
      </c>
      <c r="B37" s="258" t="s">
        <v>160</v>
      </c>
      <c r="C37" s="253" t="s">
        <v>153</v>
      </c>
      <c r="D37" s="254"/>
      <c r="E37" s="260">
        <v>25</v>
      </c>
      <c r="F37" s="260">
        <v>30</v>
      </c>
      <c r="G37" s="260">
        <v>30</v>
      </c>
      <c r="H37" s="260">
        <v>15</v>
      </c>
      <c r="I37" s="260"/>
      <c r="J37" s="259"/>
      <c r="K37" s="259"/>
      <c r="L37" s="259"/>
      <c r="M37" s="259"/>
      <c r="N37" s="259"/>
      <c r="O37" s="259"/>
      <c r="P37" s="259"/>
      <c r="S37" s="46">
        <f t="shared" si="5"/>
        <v>100</v>
      </c>
    </row>
    <row r="38" spans="1:19" x14ac:dyDescent="0.2">
      <c r="A38" s="257" t="str">
        <f t="shared" si="4"/>
        <v>5|11</v>
      </c>
      <c r="B38" s="258" t="s">
        <v>164</v>
      </c>
      <c r="C38" s="253" t="s">
        <v>169</v>
      </c>
      <c r="D38" s="254"/>
      <c r="E38" s="260">
        <v>7</v>
      </c>
      <c r="F38" s="260">
        <v>21</v>
      </c>
      <c r="G38" s="260">
        <v>27</v>
      </c>
      <c r="H38" s="260">
        <v>28</v>
      </c>
      <c r="I38" s="260">
        <v>17</v>
      </c>
      <c r="J38" s="259"/>
      <c r="K38" s="259"/>
      <c r="L38" s="259"/>
      <c r="M38" s="259"/>
      <c r="N38" s="259"/>
      <c r="O38" s="259"/>
      <c r="P38" s="259"/>
      <c r="S38" s="46">
        <f t="shared" si="5"/>
        <v>100</v>
      </c>
    </row>
    <row r="39" spans="1:19" ht="5.45" customHeight="1" x14ac:dyDescent="0.2"/>
    <row r="40" spans="1:19" ht="13.5" thickBot="1" x14ac:dyDescent="0.25">
      <c r="A40" s="261" t="s">
        <v>35</v>
      </c>
      <c r="B40" s="262">
        <v>6</v>
      </c>
      <c r="C40" s="263"/>
      <c r="D40" s="264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</row>
    <row r="41" spans="1:19" ht="13.5" thickTop="1" x14ac:dyDescent="0.2">
      <c r="A41" s="265" t="str">
        <f>CONCATENATE($B$40,"|",B41)</f>
        <v>6|1</v>
      </c>
      <c r="B41" s="252">
        <v>1</v>
      </c>
      <c r="C41" s="253" t="s">
        <v>154</v>
      </c>
      <c r="D41" s="254">
        <v>1</v>
      </c>
      <c r="E41" s="255">
        <v>20</v>
      </c>
      <c r="F41" s="255">
        <v>30</v>
      </c>
      <c r="G41" s="255">
        <v>30</v>
      </c>
      <c r="H41" s="255">
        <v>20</v>
      </c>
      <c r="I41" s="255"/>
      <c r="J41" s="256"/>
      <c r="K41" s="256"/>
      <c r="L41" s="256"/>
      <c r="M41" s="256"/>
      <c r="N41" s="256"/>
      <c r="O41" s="256"/>
      <c r="P41" s="256"/>
      <c r="S41" s="46">
        <f>SUM(E41:P41)</f>
        <v>100</v>
      </c>
    </row>
    <row r="42" spans="1:19" x14ac:dyDescent="0.2">
      <c r="A42" s="257" t="str">
        <f>CONCATENATE($B$40,"|",B42)</f>
        <v>6|2</v>
      </c>
      <c r="B42" s="258" t="s">
        <v>91</v>
      </c>
      <c r="C42" s="253" t="s">
        <v>150</v>
      </c>
      <c r="D42" s="254">
        <v>2</v>
      </c>
      <c r="E42" s="255">
        <v>15</v>
      </c>
      <c r="F42" s="255">
        <v>25</v>
      </c>
      <c r="G42" s="255">
        <v>30</v>
      </c>
      <c r="H42" s="255">
        <v>25</v>
      </c>
      <c r="I42" s="255">
        <v>5</v>
      </c>
      <c r="J42" s="259"/>
      <c r="K42" s="259"/>
      <c r="L42" s="259"/>
      <c r="M42" s="259"/>
      <c r="N42" s="259"/>
      <c r="O42" s="259"/>
      <c r="P42" s="259"/>
      <c r="S42" s="46">
        <f t="shared" ref="S42:S51" si="6">SUM(E42:P42)</f>
        <v>100</v>
      </c>
    </row>
    <row r="43" spans="1:19" x14ac:dyDescent="0.2">
      <c r="A43" s="257" t="str">
        <f t="shared" ref="A43:A51" si="7">CONCATENATE($B$40,"|",B43)</f>
        <v>6|3</v>
      </c>
      <c r="B43" s="258" t="s">
        <v>94</v>
      </c>
      <c r="C43" s="253" t="s">
        <v>155</v>
      </c>
      <c r="D43" s="254">
        <v>3</v>
      </c>
      <c r="E43" s="260">
        <v>5</v>
      </c>
      <c r="F43" s="260">
        <v>20</v>
      </c>
      <c r="G43" s="260">
        <v>30</v>
      </c>
      <c r="H43" s="260">
        <v>25</v>
      </c>
      <c r="I43" s="260">
        <v>20</v>
      </c>
      <c r="J43" s="259"/>
      <c r="K43" s="259"/>
      <c r="L43" s="259"/>
      <c r="M43" s="259"/>
      <c r="N43" s="259"/>
      <c r="O43" s="259"/>
      <c r="P43" s="259"/>
      <c r="S43" s="46">
        <f t="shared" si="6"/>
        <v>100</v>
      </c>
    </row>
    <row r="44" spans="1:19" x14ac:dyDescent="0.2">
      <c r="A44" s="257" t="str">
        <f t="shared" si="7"/>
        <v>6|4</v>
      </c>
      <c r="B44" s="258" t="s">
        <v>95</v>
      </c>
      <c r="C44" s="253" t="s">
        <v>151</v>
      </c>
      <c r="D44" s="254">
        <v>4</v>
      </c>
      <c r="E44" s="260"/>
      <c r="F44" s="260">
        <v>5</v>
      </c>
      <c r="G44" s="260">
        <v>20</v>
      </c>
      <c r="H44" s="260">
        <v>30</v>
      </c>
      <c r="I44" s="260">
        <v>25</v>
      </c>
      <c r="J44" s="259">
        <v>20</v>
      </c>
      <c r="K44" s="259"/>
      <c r="L44" s="259"/>
      <c r="M44" s="259"/>
      <c r="N44" s="259"/>
      <c r="O44" s="259"/>
      <c r="P44" s="259"/>
      <c r="S44" s="46">
        <f t="shared" si="6"/>
        <v>100</v>
      </c>
    </row>
    <row r="45" spans="1:19" x14ac:dyDescent="0.2">
      <c r="A45" s="257" t="str">
        <f t="shared" si="7"/>
        <v>6|5</v>
      </c>
      <c r="B45" s="258" t="s">
        <v>90</v>
      </c>
      <c r="C45" s="253" t="s">
        <v>152</v>
      </c>
      <c r="D45" s="254">
        <v>5</v>
      </c>
      <c r="E45" s="260"/>
      <c r="F45" s="260">
        <v>15</v>
      </c>
      <c r="G45" s="260">
        <v>30</v>
      </c>
      <c r="H45" s="260">
        <v>30</v>
      </c>
      <c r="I45" s="260">
        <v>25</v>
      </c>
      <c r="J45" s="259"/>
      <c r="K45" s="259"/>
      <c r="L45" s="259"/>
      <c r="M45" s="259"/>
      <c r="N45" s="259"/>
      <c r="O45" s="259"/>
      <c r="P45" s="259"/>
      <c r="S45" s="46">
        <f t="shared" si="6"/>
        <v>100</v>
      </c>
    </row>
    <row r="46" spans="1:19" x14ac:dyDescent="0.2">
      <c r="A46" s="257" t="str">
        <f t="shared" si="7"/>
        <v>6|6</v>
      </c>
      <c r="B46" s="258" t="s">
        <v>96</v>
      </c>
      <c r="C46" s="253" t="s">
        <v>298</v>
      </c>
      <c r="D46" s="254">
        <v>3</v>
      </c>
      <c r="E46" s="260"/>
      <c r="F46" s="260">
        <v>5</v>
      </c>
      <c r="G46" s="260">
        <v>10</v>
      </c>
      <c r="H46" s="260">
        <v>30</v>
      </c>
      <c r="I46" s="260">
        <v>30</v>
      </c>
      <c r="J46" s="259">
        <v>25</v>
      </c>
      <c r="K46" s="259"/>
      <c r="L46" s="259"/>
      <c r="M46" s="259"/>
      <c r="N46" s="259"/>
      <c r="O46" s="259"/>
      <c r="P46" s="259"/>
      <c r="S46" s="46">
        <f t="shared" si="6"/>
        <v>100</v>
      </c>
    </row>
    <row r="47" spans="1:19" x14ac:dyDescent="0.2">
      <c r="A47" s="257" t="str">
        <f t="shared" si="7"/>
        <v>6|7</v>
      </c>
      <c r="B47" s="258" t="s">
        <v>149</v>
      </c>
      <c r="C47" s="253" t="s">
        <v>156</v>
      </c>
      <c r="D47" s="254">
        <v>5</v>
      </c>
      <c r="E47" s="260"/>
      <c r="F47" s="260"/>
      <c r="G47" s="260">
        <v>20</v>
      </c>
      <c r="H47" s="260">
        <v>20</v>
      </c>
      <c r="I47" s="260">
        <v>30</v>
      </c>
      <c r="J47" s="259">
        <v>30</v>
      </c>
      <c r="K47" s="259"/>
      <c r="L47" s="259"/>
      <c r="M47" s="259"/>
      <c r="N47" s="259"/>
      <c r="O47" s="259"/>
      <c r="P47" s="259"/>
      <c r="S47" s="46">
        <f t="shared" si="6"/>
        <v>100</v>
      </c>
    </row>
    <row r="48" spans="1:19" x14ac:dyDescent="0.2">
      <c r="A48" s="257" t="str">
        <f t="shared" si="7"/>
        <v>6|8</v>
      </c>
      <c r="B48" s="258" t="s">
        <v>108</v>
      </c>
      <c r="C48" s="253" t="s">
        <v>157</v>
      </c>
      <c r="D48" s="254">
        <v>6</v>
      </c>
      <c r="E48" s="260"/>
      <c r="F48" s="260"/>
      <c r="G48" s="260">
        <v>20</v>
      </c>
      <c r="H48" s="260">
        <v>30</v>
      </c>
      <c r="I48" s="260">
        <v>30</v>
      </c>
      <c r="J48" s="259">
        <v>20</v>
      </c>
      <c r="K48" s="259"/>
      <c r="L48" s="259"/>
      <c r="M48" s="259"/>
      <c r="N48" s="259"/>
      <c r="O48" s="259"/>
      <c r="P48" s="259"/>
      <c r="S48" s="46">
        <f t="shared" si="6"/>
        <v>100</v>
      </c>
    </row>
    <row r="49" spans="1:19" x14ac:dyDescent="0.2">
      <c r="A49" s="257" t="str">
        <f t="shared" si="7"/>
        <v>6|9</v>
      </c>
      <c r="B49" s="258" t="s">
        <v>158</v>
      </c>
      <c r="C49" s="253" t="s">
        <v>159</v>
      </c>
      <c r="D49" s="254">
        <v>6</v>
      </c>
      <c r="E49" s="260">
        <v>5</v>
      </c>
      <c r="F49" s="260">
        <v>15</v>
      </c>
      <c r="G49" s="260">
        <v>25</v>
      </c>
      <c r="H49" s="260">
        <v>25</v>
      </c>
      <c r="I49" s="260">
        <v>20</v>
      </c>
      <c r="J49" s="259">
        <v>10</v>
      </c>
      <c r="K49" s="259"/>
      <c r="L49" s="259"/>
      <c r="M49" s="259"/>
      <c r="N49" s="259"/>
      <c r="O49" s="259"/>
      <c r="P49" s="259"/>
      <c r="S49" s="46">
        <f t="shared" si="6"/>
        <v>100</v>
      </c>
    </row>
    <row r="50" spans="1:19" x14ac:dyDescent="0.2">
      <c r="A50" s="257" t="str">
        <f t="shared" si="7"/>
        <v>6|10</v>
      </c>
      <c r="B50" s="258" t="s">
        <v>160</v>
      </c>
      <c r="C50" s="253" t="s">
        <v>153</v>
      </c>
      <c r="D50" s="254"/>
      <c r="E50" s="260">
        <v>20</v>
      </c>
      <c r="F50" s="260">
        <v>30</v>
      </c>
      <c r="G50" s="260">
        <v>30</v>
      </c>
      <c r="H50" s="260">
        <v>15</v>
      </c>
      <c r="I50" s="260">
        <v>5</v>
      </c>
      <c r="J50" s="259"/>
      <c r="K50" s="259"/>
      <c r="L50" s="259"/>
      <c r="M50" s="259"/>
      <c r="N50" s="259"/>
      <c r="O50" s="259"/>
      <c r="P50" s="259"/>
      <c r="S50" s="46">
        <f t="shared" si="6"/>
        <v>100</v>
      </c>
    </row>
    <row r="51" spans="1:19" x14ac:dyDescent="0.2">
      <c r="A51" s="257" t="str">
        <f t="shared" si="7"/>
        <v>6|11</v>
      </c>
      <c r="B51" s="258" t="s">
        <v>164</v>
      </c>
      <c r="C51" s="253" t="s">
        <v>169</v>
      </c>
      <c r="D51" s="254"/>
      <c r="E51" s="260">
        <v>3</v>
      </c>
      <c r="F51" s="260">
        <v>12</v>
      </c>
      <c r="G51" s="260">
        <v>25</v>
      </c>
      <c r="H51" s="260">
        <v>28</v>
      </c>
      <c r="I51" s="260">
        <v>21</v>
      </c>
      <c r="J51" s="259">
        <v>11</v>
      </c>
      <c r="K51" s="259"/>
      <c r="L51" s="259"/>
      <c r="M51" s="259"/>
      <c r="N51" s="259"/>
      <c r="O51" s="259"/>
      <c r="P51" s="259"/>
      <c r="S51" s="46">
        <f t="shared" si="6"/>
        <v>100</v>
      </c>
    </row>
    <row r="52" spans="1:19" ht="5.45" customHeight="1" x14ac:dyDescent="0.2"/>
    <row r="53" spans="1:19" ht="13.5" thickBot="1" x14ac:dyDescent="0.25">
      <c r="A53" s="261" t="s">
        <v>35</v>
      </c>
      <c r="B53" s="262">
        <v>7</v>
      </c>
      <c r="C53" s="263"/>
      <c r="D53" s="264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</row>
    <row r="54" spans="1:19" ht="13.5" thickTop="1" x14ac:dyDescent="0.2">
      <c r="A54" s="265" t="str">
        <f>CONCATENATE($B$53,"|",B54)</f>
        <v>7|1</v>
      </c>
      <c r="B54" s="252">
        <v>1</v>
      </c>
      <c r="C54" s="253" t="s">
        <v>154</v>
      </c>
      <c r="D54" s="254">
        <v>1</v>
      </c>
      <c r="E54" s="255">
        <v>15</v>
      </c>
      <c r="F54" s="255">
        <v>30</v>
      </c>
      <c r="G54" s="255">
        <v>30</v>
      </c>
      <c r="H54" s="255">
        <v>20</v>
      </c>
      <c r="I54" s="255">
        <v>5</v>
      </c>
      <c r="J54" s="256"/>
      <c r="K54" s="256"/>
      <c r="L54" s="256"/>
      <c r="M54" s="256"/>
      <c r="N54" s="256"/>
      <c r="O54" s="256"/>
      <c r="P54" s="256"/>
      <c r="S54" s="46">
        <f>SUM(E54:P54)</f>
        <v>100</v>
      </c>
    </row>
    <row r="55" spans="1:19" x14ac:dyDescent="0.2">
      <c r="A55" s="257" t="str">
        <f>CONCATENATE($B$53,"|",B55)</f>
        <v>7|2</v>
      </c>
      <c r="B55" s="258" t="s">
        <v>91</v>
      </c>
      <c r="C55" s="253" t="s">
        <v>150</v>
      </c>
      <c r="D55" s="254">
        <v>2</v>
      </c>
      <c r="E55" s="255">
        <v>15</v>
      </c>
      <c r="F55" s="255">
        <v>20</v>
      </c>
      <c r="G55" s="255">
        <v>25</v>
      </c>
      <c r="H55" s="255">
        <v>25</v>
      </c>
      <c r="I55" s="255">
        <v>15</v>
      </c>
      <c r="J55" s="259"/>
      <c r="K55" s="259"/>
      <c r="L55" s="259"/>
      <c r="M55" s="259"/>
      <c r="N55" s="259"/>
      <c r="O55" s="259"/>
      <c r="P55" s="259"/>
      <c r="S55" s="46">
        <f t="shared" ref="S55:S64" si="8">SUM(E55:P55)</f>
        <v>100</v>
      </c>
    </row>
    <row r="56" spans="1:19" x14ac:dyDescent="0.2">
      <c r="A56" s="257" t="str">
        <f t="shared" ref="A56:A64" si="9">CONCATENATE($B$53,"|",B56)</f>
        <v>7|3</v>
      </c>
      <c r="B56" s="258" t="s">
        <v>94</v>
      </c>
      <c r="C56" s="253" t="s">
        <v>155</v>
      </c>
      <c r="D56" s="254">
        <v>3</v>
      </c>
      <c r="E56" s="260">
        <v>5</v>
      </c>
      <c r="F56" s="260">
        <v>15</v>
      </c>
      <c r="G56" s="260">
        <v>20</v>
      </c>
      <c r="H56" s="260">
        <v>25</v>
      </c>
      <c r="I56" s="260">
        <v>20</v>
      </c>
      <c r="J56" s="259">
        <v>15</v>
      </c>
      <c r="K56" s="259"/>
      <c r="L56" s="259"/>
      <c r="M56" s="259"/>
      <c r="N56" s="259"/>
      <c r="O56" s="259"/>
      <c r="P56" s="259"/>
      <c r="S56" s="46">
        <f t="shared" si="8"/>
        <v>100</v>
      </c>
    </row>
    <row r="57" spans="1:19" x14ac:dyDescent="0.2">
      <c r="A57" s="257" t="str">
        <f t="shared" si="9"/>
        <v>7|4</v>
      </c>
      <c r="B57" s="258" t="s">
        <v>95</v>
      </c>
      <c r="C57" s="253" t="s">
        <v>151</v>
      </c>
      <c r="D57" s="254">
        <v>4</v>
      </c>
      <c r="E57" s="260"/>
      <c r="F57" s="260"/>
      <c r="G57" s="260">
        <v>15</v>
      </c>
      <c r="H57" s="260">
        <v>25</v>
      </c>
      <c r="I57" s="260">
        <v>25</v>
      </c>
      <c r="J57" s="259">
        <v>25</v>
      </c>
      <c r="K57" s="259">
        <v>10</v>
      </c>
      <c r="L57" s="259"/>
      <c r="M57" s="259"/>
      <c r="N57" s="259"/>
      <c r="O57" s="259"/>
      <c r="P57" s="259"/>
      <c r="S57" s="46">
        <f t="shared" si="8"/>
        <v>100</v>
      </c>
    </row>
    <row r="58" spans="1:19" x14ac:dyDescent="0.2">
      <c r="A58" s="257" t="str">
        <f t="shared" si="9"/>
        <v>7|5</v>
      </c>
      <c r="B58" s="258" t="s">
        <v>90</v>
      </c>
      <c r="C58" s="253" t="s">
        <v>152</v>
      </c>
      <c r="D58" s="254">
        <v>5</v>
      </c>
      <c r="E58" s="260"/>
      <c r="F58" s="260">
        <v>10</v>
      </c>
      <c r="G58" s="260">
        <v>15</v>
      </c>
      <c r="H58" s="260">
        <v>30</v>
      </c>
      <c r="I58" s="260">
        <v>30</v>
      </c>
      <c r="J58" s="259">
        <v>15</v>
      </c>
      <c r="K58" s="259"/>
      <c r="L58" s="259"/>
      <c r="M58" s="259"/>
      <c r="N58" s="259"/>
      <c r="O58" s="259"/>
      <c r="P58" s="259"/>
      <c r="S58" s="46">
        <f t="shared" si="8"/>
        <v>100</v>
      </c>
    </row>
    <row r="59" spans="1:19" x14ac:dyDescent="0.2">
      <c r="A59" s="257" t="str">
        <f t="shared" si="9"/>
        <v>7|6</v>
      </c>
      <c r="B59" s="258" t="s">
        <v>96</v>
      </c>
      <c r="C59" s="253" t="s">
        <v>298</v>
      </c>
      <c r="D59" s="254">
        <v>3</v>
      </c>
      <c r="E59" s="260"/>
      <c r="F59" s="260">
        <v>5</v>
      </c>
      <c r="G59" s="260">
        <v>10</v>
      </c>
      <c r="H59" s="260">
        <v>25</v>
      </c>
      <c r="I59" s="260">
        <v>25</v>
      </c>
      <c r="J59" s="259">
        <v>20</v>
      </c>
      <c r="K59" s="259">
        <v>15</v>
      </c>
      <c r="L59" s="259"/>
      <c r="M59" s="259"/>
      <c r="N59" s="259"/>
      <c r="O59" s="259"/>
      <c r="P59" s="259"/>
      <c r="S59" s="46">
        <f t="shared" si="8"/>
        <v>100</v>
      </c>
    </row>
    <row r="60" spans="1:19" x14ac:dyDescent="0.2">
      <c r="A60" s="257" t="str">
        <f t="shared" si="9"/>
        <v>7|7</v>
      </c>
      <c r="B60" s="258" t="s">
        <v>149</v>
      </c>
      <c r="C60" s="253" t="s">
        <v>156</v>
      </c>
      <c r="D60" s="254">
        <v>5</v>
      </c>
      <c r="E60" s="260"/>
      <c r="F60" s="260"/>
      <c r="G60" s="260">
        <v>15</v>
      </c>
      <c r="H60" s="260">
        <v>15</v>
      </c>
      <c r="I60" s="260">
        <v>25</v>
      </c>
      <c r="J60" s="260">
        <v>25</v>
      </c>
      <c r="K60" s="259">
        <v>20</v>
      </c>
      <c r="L60" s="259"/>
      <c r="M60" s="259"/>
      <c r="N60" s="259"/>
      <c r="O60" s="259"/>
      <c r="P60" s="259"/>
      <c r="S60" s="46">
        <f t="shared" si="8"/>
        <v>100</v>
      </c>
    </row>
    <row r="61" spans="1:19" x14ac:dyDescent="0.2">
      <c r="A61" s="257" t="str">
        <f t="shared" si="9"/>
        <v>7|8</v>
      </c>
      <c r="B61" s="258" t="s">
        <v>108</v>
      </c>
      <c r="C61" s="253" t="s">
        <v>157</v>
      </c>
      <c r="D61" s="254">
        <v>6</v>
      </c>
      <c r="E61" s="260"/>
      <c r="F61" s="260"/>
      <c r="G61" s="260">
        <v>10</v>
      </c>
      <c r="H61" s="260">
        <v>20</v>
      </c>
      <c r="I61" s="260">
        <v>20</v>
      </c>
      <c r="J61" s="259">
        <v>30</v>
      </c>
      <c r="K61" s="259">
        <v>20</v>
      </c>
      <c r="L61" s="259"/>
      <c r="M61" s="259"/>
      <c r="N61" s="259"/>
      <c r="O61" s="259"/>
      <c r="P61" s="259"/>
      <c r="S61" s="46">
        <f t="shared" si="8"/>
        <v>100</v>
      </c>
    </row>
    <row r="62" spans="1:19" x14ac:dyDescent="0.2">
      <c r="A62" s="257" t="str">
        <f t="shared" si="9"/>
        <v>7|9</v>
      </c>
      <c r="B62" s="258" t="s">
        <v>158</v>
      </c>
      <c r="C62" s="253" t="s">
        <v>159</v>
      </c>
      <c r="D62" s="254">
        <v>6</v>
      </c>
      <c r="E62" s="260">
        <v>5</v>
      </c>
      <c r="F62" s="260">
        <v>10</v>
      </c>
      <c r="G62" s="260">
        <v>20</v>
      </c>
      <c r="H62" s="260">
        <v>20</v>
      </c>
      <c r="I62" s="260">
        <v>20</v>
      </c>
      <c r="J62" s="259">
        <v>15</v>
      </c>
      <c r="K62" s="259">
        <v>10</v>
      </c>
      <c r="L62" s="259"/>
      <c r="M62" s="259"/>
      <c r="N62" s="259"/>
      <c r="O62" s="259"/>
      <c r="P62" s="259"/>
      <c r="S62" s="46">
        <f t="shared" si="8"/>
        <v>100</v>
      </c>
    </row>
    <row r="63" spans="1:19" x14ac:dyDescent="0.2">
      <c r="A63" s="257" t="str">
        <f t="shared" si="9"/>
        <v>7|10</v>
      </c>
      <c r="B63" s="258" t="s">
        <v>160</v>
      </c>
      <c r="C63" s="253" t="s">
        <v>153</v>
      </c>
      <c r="D63" s="254"/>
      <c r="E63" s="260">
        <v>15</v>
      </c>
      <c r="F63" s="260">
        <v>25</v>
      </c>
      <c r="G63" s="260">
        <v>25</v>
      </c>
      <c r="H63" s="260">
        <v>20</v>
      </c>
      <c r="I63" s="260">
        <v>10</v>
      </c>
      <c r="J63" s="259">
        <v>5</v>
      </c>
      <c r="K63" s="259"/>
      <c r="L63" s="259"/>
      <c r="M63" s="259"/>
      <c r="N63" s="259"/>
      <c r="O63" s="259"/>
      <c r="P63" s="259"/>
      <c r="S63" s="46">
        <f t="shared" si="8"/>
        <v>100</v>
      </c>
    </row>
    <row r="64" spans="1:19" x14ac:dyDescent="0.2">
      <c r="A64" s="257" t="str">
        <f t="shared" si="9"/>
        <v>7|11</v>
      </c>
      <c r="B64" s="258" t="s">
        <v>164</v>
      </c>
      <c r="C64" s="253" t="s">
        <v>169</v>
      </c>
      <c r="D64" s="254"/>
      <c r="E64" s="260">
        <v>2</v>
      </c>
      <c r="F64" s="260">
        <v>8</v>
      </c>
      <c r="G64" s="260">
        <v>18</v>
      </c>
      <c r="H64" s="260">
        <v>20</v>
      </c>
      <c r="I64" s="260">
        <v>20</v>
      </c>
      <c r="J64" s="259">
        <v>20</v>
      </c>
      <c r="K64" s="259">
        <v>12</v>
      </c>
      <c r="L64" s="259"/>
      <c r="M64" s="259"/>
      <c r="N64" s="259"/>
      <c r="O64" s="259"/>
      <c r="P64" s="259"/>
      <c r="S64" s="46">
        <f t="shared" si="8"/>
        <v>100</v>
      </c>
    </row>
    <row r="65" spans="1:19" ht="5.45" customHeight="1" x14ac:dyDescent="0.2"/>
    <row r="66" spans="1:19" ht="13.5" thickBot="1" x14ac:dyDescent="0.25">
      <c r="A66" s="261" t="s">
        <v>35</v>
      </c>
      <c r="B66" s="262">
        <v>8</v>
      </c>
      <c r="C66" s="263"/>
      <c r="D66" s="264"/>
      <c r="E66" s="250"/>
      <c r="F66" s="250"/>
      <c r="G66" s="250"/>
      <c r="H66" s="250"/>
      <c r="I66" s="250"/>
      <c r="J66" s="250"/>
      <c r="K66" s="250"/>
      <c r="L66" s="250"/>
      <c r="M66" s="250"/>
      <c r="N66" s="250"/>
      <c r="O66" s="250"/>
      <c r="P66" s="250"/>
    </row>
    <row r="67" spans="1:19" ht="13.5" thickTop="1" x14ac:dyDescent="0.2">
      <c r="A67" s="265" t="str">
        <f>CONCATENATE($B$66,"|",B67)</f>
        <v>8|1</v>
      </c>
      <c r="B67" s="252">
        <v>1</v>
      </c>
      <c r="C67" s="253" t="s">
        <v>154</v>
      </c>
      <c r="D67" s="254">
        <v>1</v>
      </c>
      <c r="E67" s="255">
        <v>15</v>
      </c>
      <c r="F67" s="255">
        <v>20</v>
      </c>
      <c r="G67" s="255">
        <v>25</v>
      </c>
      <c r="H67" s="255">
        <v>25</v>
      </c>
      <c r="I67" s="255">
        <v>10</v>
      </c>
      <c r="J67" s="256">
        <v>5</v>
      </c>
      <c r="K67" s="256"/>
      <c r="L67" s="256"/>
      <c r="M67" s="256"/>
      <c r="N67" s="256"/>
      <c r="O67" s="256"/>
      <c r="P67" s="256"/>
      <c r="S67" s="46">
        <f>SUM(E67:P67)</f>
        <v>100</v>
      </c>
    </row>
    <row r="68" spans="1:19" x14ac:dyDescent="0.2">
      <c r="A68" s="257" t="str">
        <f>CONCATENATE($B$66,"|",B68)</f>
        <v>8|2</v>
      </c>
      <c r="B68" s="258" t="s">
        <v>91</v>
      </c>
      <c r="C68" s="253" t="s">
        <v>150</v>
      </c>
      <c r="D68" s="254">
        <v>2</v>
      </c>
      <c r="E68" s="255">
        <v>15</v>
      </c>
      <c r="F68" s="255">
        <v>20</v>
      </c>
      <c r="G68" s="255">
        <v>25</v>
      </c>
      <c r="H68" s="255">
        <v>25</v>
      </c>
      <c r="I68" s="255">
        <v>10</v>
      </c>
      <c r="J68" s="259">
        <v>5</v>
      </c>
      <c r="K68" s="259"/>
      <c r="L68" s="259"/>
      <c r="M68" s="259"/>
      <c r="N68" s="259"/>
      <c r="O68" s="259"/>
      <c r="P68" s="259"/>
      <c r="S68" s="46">
        <f t="shared" ref="S68:S77" si="10">SUM(E68:P68)</f>
        <v>100</v>
      </c>
    </row>
    <row r="69" spans="1:19" x14ac:dyDescent="0.2">
      <c r="A69" s="257" t="str">
        <f t="shared" ref="A69:A77" si="11">CONCATENATE($B$66,"|",B69)</f>
        <v>8|3</v>
      </c>
      <c r="B69" s="258" t="s">
        <v>94</v>
      </c>
      <c r="C69" s="253" t="s">
        <v>155</v>
      </c>
      <c r="D69" s="254">
        <v>3</v>
      </c>
      <c r="E69" s="260">
        <v>5</v>
      </c>
      <c r="F69" s="260">
        <v>10</v>
      </c>
      <c r="G69" s="260">
        <v>15</v>
      </c>
      <c r="H69" s="260">
        <v>20</v>
      </c>
      <c r="I69" s="260">
        <v>20</v>
      </c>
      <c r="J69" s="259">
        <v>20</v>
      </c>
      <c r="K69" s="259">
        <v>10</v>
      </c>
      <c r="L69" s="259"/>
      <c r="M69" s="259"/>
      <c r="N69" s="259"/>
      <c r="O69" s="259"/>
      <c r="P69" s="259"/>
      <c r="S69" s="46">
        <f t="shared" si="10"/>
        <v>100</v>
      </c>
    </row>
    <row r="70" spans="1:19" x14ac:dyDescent="0.2">
      <c r="A70" s="257" t="str">
        <f t="shared" si="11"/>
        <v>8|4</v>
      </c>
      <c r="B70" s="258" t="s">
        <v>95</v>
      </c>
      <c r="C70" s="253" t="s">
        <v>151</v>
      </c>
      <c r="D70" s="254">
        <v>4</v>
      </c>
      <c r="E70" s="260"/>
      <c r="F70" s="260"/>
      <c r="G70" s="260">
        <v>10</v>
      </c>
      <c r="H70" s="260">
        <v>25</v>
      </c>
      <c r="I70" s="260">
        <v>25</v>
      </c>
      <c r="J70" s="259">
        <v>20</v>
      </c>
      <c r="K70" s="259">
        <v>10</v>
      </c>
      <c r="L70" s="259">
        <v>10</v>
      </c>
      <c r="M70" s="259"/>
      <c r="N70" s="259"/>
      <c r="O70" s="259"/>
      <c r="P70" s="259"/>
      <c r="S70" s="46">
        <f t="shared" si="10"/>
        <v>100</v>
      </c>
    </row>
    <row r="71" spans="1:19" x14ac:dyDescent="0.2">
      <c r="A71" s="257" t="str">
        <f t="shared" si="11"/>
        <v>8|5</v>
      </c>
      <c r="B71" s="258" t="s">
        <v>90</v>
      </c>
      <c r="C71" s="253" t="s">
        <v>152</v>
      </c>
      <c r="D71" s="254">
        <v>5</v>
      </c>
      <c r="E71" s="260"/>
      <c r="F71" s="260">
        <v>5</v>
      </c>
      <c r="G71" s="260">
        <v>15</v>
      </c>
      <c r="H71" s="260">
        <v>25</v>
      </c>
      <c r="I71" s="260">
        <v>25</v>
      </c>
      <c r="J71" s="259">
        <v>15</v>
      </c>
      <c r="K71" s="259">
        <v>15</v>
      </c>
      <c r="L71" s="259"/>
      <c r="M71" s="259"/>
      <c r="N71" s="259"/>
      <c r="O71" s="259"/>
      <c r="P71" s="259"/>
      <c r="S71" s="46">
        <f t="shared" si="10"/>
        <v>100</v>
      </c>
    </row>
    <row r="72" spans="1:19" x14ac:dyDescent="0.2">
      <c r="A72" s="257" t="str">
        <f t="shared" si="11"/>
        <v>8|6</v>
      </c>
      <c r="B72" s="258" t="s">
        <v>96</v>
      </c>
      <c r="C72" s="253" t="s">
        <v>298</v>
      </c>
      <c r="D72" s="254">
        <v>3</v>
      </c>
      <c r="E72" s="260"/>
      <c r="F72" s="260"/>
      <c r="G72" s="260">
        <v>5</v>
      </c>
      <c r="H72" s="260">
        <v>20</v>
      </c>
      <c r="I72" s="260">
        <v>20</v>
      </c>
      <c r="J72" s="259">
        <v>25</v>
      </c>
      <c r="K72" s="259">
        <v>20</v>
      </c>
      <c r="L72" s="259">
        <v>10</v>
      </c>
      <c r="M72" s="259"/>
      <c r="N72" s="259"/>
      <c r="O72" s="259"/>
      <c r="P72" s="259"/>
      <c r="S72" s="46">
        <f t="shared" si="10"/>
        <v>100</v>
      </c>
    </row>
    <row r="73" spans="1:19" x14ac:dyDescent="0.2">
      <c r="A73" s="257" t="str">
        <f t="shared" si="11"/>
        <v>8|7</v>
      </c>
      <c r="B73" s="258" t="s">
        <v>149</v>
      </c>
      <c r="C73" s="253" t="s">
        <v>156</v>
      </c>
      <c r="D73" s="254">
        <v>5</v>
      </c>
      <c r="E73" s="260"/>
      <c r="F73" s="260"/>
      <c r="G73" s="260">
        <v>5</v>
      </c>
      <c r="H73" s="260">
        <v>15</v>
      </c>
      <c r="I73" s="260">
        <v>20</v>
      </c>
      <c r="J73" s="260">
        <v>25</v>
      </c>
      <c r="K73" s="260">
        <v>25</v>
      </c>
      <c r="L73" s="260">
        <v>10</v>
      </c>
      <c r="M73" s="259"/>
      <c r="N73" s="259"/>
      <c r="O73" s="259"/>
      <c r="P73" s="259"/>
      <c r="S73" s="46">
        <f t="shared" si="10"/>
        <v>100</v>
      </c>
    </row>
    <row r="74" spans="1:19" x14ac:dyDescent="0.2">
      <c r="A74" s="257" t="str">
        <f t="shared" si="11"/>
        <v>8|8</v>
      </c>
      <c r="B74" s="258" t="s">
        <v>108</v>
      </c>
      <c r="C74" s="253" t="s">
        <v>157</v>
      </c>
      <c r="D74" s="254">
        <v>6</v>
      </c>
      <c r="E74" s="260"/>
      <c r="F74" s="260"/>
      <c r="G74" s="260"/>
      <c r="H74" s="260">
        <v>20</v>
      </c>
      <c r="I74" s="260">
        <v>20</v>
      </c>
      <c r="J74" s="259">
        <v>30</v>
      </c>
      <c r="K74" s="259">
        <v>20</v>
      </c>
      <c r="L74" s="259">
        <v>10</v>
      </c>
      <c r="M74" s="259"/>
      <c r="N74" s="259"/>
      <c r="O74" s="259"/>
      <c r="P74" s="259"/>
      <c r="S74" s="46">
        <f t="shared" si="10"/>
        <v>100</v>
      </c>
    </row>
    <row r="75" spans="1:19" x14ac:dyDescent="0.2">
      <c r="A75" s="257" t="str">
        <f t="shared" si="11"/>
        <v>8|9</v>
      </c>
      <c r="B75" s="258" t="s">
        <v>158</v>
      </c>
      <c r="C75" s="253" t="s">
        <v>159</v>
      </c>
      <c r="D75" s="254">
        <v>6</v>
      </c>
      <c r="E75" s="260">
        <v>5</v>
      </c>
      <c r="F75" s="260">
        <v>5</v>
      </c>
      <c r="G75" s="260">
        <v>10</v>
      </c>
      <c r="H75" s="260">
        <v>15</v>
      </c>
      <c r="I75" s="260">
        <v>20</v>
      </c>
      <c r="J75" s="259">
        <v>20</v>
      </c>
      <c r="K75" s="259">
        <v>15</v>
      </c>
      <c r="L75" s="259">
        <v>10</v>
      </c>
      <c r="M75" s="259"/>
      <c r="N75" s="259"/>
      <c r="O75" s="259"/>
      <c r="P75" s="259"/>
      <c r="S75" s="46">
        <f t="shared" si="10"/>
        <v>100</v>
      </c>
    </row>
    <row r="76" spans="1:19" x14ac:dyDescent="0.2">
      <c r="A76" s="257" t="str">
        <f t="shared" si="11"/>
        <v>8|10</v>
      </c>
      <c r="B76" s="258" t="s">
        <v>160</v>
      </c>
      <c r="C76" s="253" t="s">
        <v>153</v>
      </c>
      <c r="D76" s="254"/>
      <c r="E76" s="260">
        <v>15</v>
      </c>
      <c r="F76" s="260">
        <v>20</v>
      </c>
      <c r="G76" s="260">
        <v>20</v>
      </c>
      <c r="H76" s="260">
        <v>20</v>
      </c>
      <c r="I76" s="260">
        <v>15</v>
      </c>
      <c r="J76" s="259">
        <v>10</v>
      </c>
      <c r="K76" s="259"/>
      <c r="L76" s="259"/>
      <c r="M76" s="259"/>
      <c r="N76" s="259"/>
      <c r="O76" s="259"/>
      <c r="P76" s="259"/>
      <c r="S76" s="46">
        <f t="shared" si="10"/>
        <v>100</v>
      </c>
    </row>
    <row r="77" spans="1:19" x14ac:dyDescent="0.2">
      <c r="A77" s="257" t="str">
        <f t="shared" si="11"/>
        <v>8|11</v>
      </c>
      <c r="B77" s="258" t="s">
        <v>164</v>
      </c>
      <c r="C77" s="253" t="s">
        <v>169</v>
      </c>
      <c r="D77" s="254"/>
      <c r="E77" s="260">
        <v>2</v>
      </c>
      <c r="F77" s="260">
        <v>2</v>
      </c>
      <c r="G77" s="260">
        <v>13</v>
      </c>
      <c r="H77" s="260">
        <v>15</v>
      </c>
      <c r="I77" s="260">
        <v>15</v>
      </c>
      <c r="J77" s="259">
        <v>22</v>
      </c>
      <c r="K77" s="259">
        <v>23</v>
      </c>
      <c r="L77" s="259">
        <v>8</v>
      </c>
      <c r="M77" s="259"/>
      <c r="N77" s="259"/>
      <c r="O77" s="259"/>
      <c r="P77" s="259"/>
      <c r="S77" s="46">
        <f t="shared" si="10"/>
        <v>100</v>
      </c>
    </row>
    <row r="78" spans="1:19" ht="5.45" customHeight="1" x14ac:dyDescent="0.2"/>
    <row r="79" spans="1:19" ht="13.5" thickBot="1" x14ac:dyDescent="0.25">
      <c r="A79" s="261" t="s">
        <v>35</v>
      </c>
      <c r="B79" s="262">
        <v>9</v>
      </c>
      <c r="C79" s="263"/>
      <c r="D79" s="264"/>
      <c r="E79" s="250"/>
      <c r="F79" s="250"/>
      <c r="G79" s="250"/>
      <c r="H79" s="250"/>
      <c r="I79" s="250"/>
      <c r="J79" s="250"/>
      <c r="K79" s="250"/>
      <c r="L79" s="250"/>
      <c r="M79" s="250"/>
      <c r="N79" s="250"/>
      <c r="O79" s="250"/>
      <c r="P79" s="250"/>
    </row>
    <row r="80" spans="1:19" ht="13.5" thickTop="1" x14ac:dyDescent="0.2">
      <c r="A80" s="265" t="str">
        <f>CONCATENATE($B$79,"|",B80)</f>
        <v>9|1</v>
      </c>
      <c r="B80" s="252">
        <v>1</v>
      </c>
      <c r="C80" s="253" t="s">
        <v>154</v>
      </c>
      <c r="D80" s="254">
        <v>1</v>
      </c>
      <c r="E80" s="255">
        <v>15</v>
      </c>
      <c r="F80" s="255">
        <v>15</v>
      </c>
      <c r="G80" s="255">
        <v>20</v>
      </c>
      <c r="H80" s="255">
        <v>20</v>
      </c>
      <c r="I80" s="255">
        <v>20</v>
      </c>
      <c r="J80" s="256">
        <v>10</v>
      </c>
      <c r="K80" s="256"/>
      <c r="L80" s="256"/>
      <c r="M80" s="256"/>
      <c r="N80" s="256"/>
      <c r="O80" s="256"/>
      <c r="P80" s="256"/>
      <c r="S80" s="46">
        <f>SUM(E80:P80)</f>
        <v>100</v>
      </c>
    </row>
    <row r="81" spans="1:19" x14ac:dyDescent="0.2">
      <c r="A81" s="257" t="str">
        <f>CONCATENATE($B$79,"|",B81)</f>
        <v>9|2</v>
      </c>
      <c r="B81" s="258" t="s">
        <v>91</v>
      </c>
      <c r="C81" s="253" t="s">
        <v>150</v>
      </c>
      <c r="D81" s="254">
        <v>2</v>
      </c>
      <c r="E81" s="255">
        <v>10</v>
      </c>
      <c r="F81" s="255">
        <v>15</v>
      </c>
      <c r="G81" s="255">
        <v>20</v>
      </c>
      <c r="H81" s="255">
        <v>20</v>
      </c>
      <c r="I81" s="255">
        <v>15</v>
      </c>
      <c r="J81" s="259">
        <v>15</v>
      </c>
      <c r="K81" s="259">
        <v>5</v>
      </c>
      <c r="L81" s="259"/>
      <c r="M81" s="259"/>
      <c r="N81" s="259"/>
      <c r="O81" s="259"/>
      <c r="P81" s="259"/>
      <c r="S81" s="46">
        <f t="shared" ref="S81:S90" si="12">SUM(E81:P81)</f>
        <v>100</v>
      </c>
    </row>
    <row r="82" spans="1:19" x14ac:dyDescent="0.2">
      <c r="A82" s="257" t="str">
        <f t="shared" ref="A82:A90" si="13">CONCATENATE($B$79,"|",B82)</f>
        <v>9|3</v>
      </c>
      <c r="B82" s="258" t="s">
        <v>94</v>
      </c>
      <c r="C82" s="253" t="s">
        <v>155</v>
      </c>
      <c r="D82" s="254">
        <v>3</v>
      </c>
      <c r="E82" s="260">
        <v>5</v>
      </c>
      <c r="F82" s="260">
        <v>10</v>
      </c>
      <c r="G82" s="260">
        <v>15</v>
      </c>
      <c r="H82" s="260">
        <v>20</v>
      </c>
      <c r="I82" s="260">
        <v>20</v>
      </c>
      <c r="J82" s="259">
        <v>10</v>
      </c>
      <c r="K82" s="259">
        <v>10</v>
      </c>
      <c r="L82" s="259">
        <v>10</v>
      </c>
      <c r="M82" s="259"/>
      <c r="N82" s="259"/>
      <c r="O82" s="259"/>
      <c r="P82" s="259"/>
      <c r="S82" s="46">
        <f t="shared" si="12"/>
        <v>100</v>
      </c>
    </row>
    <row r="83" spans="1:19" x14ac:dyDescent="0.2">
      <c r="A83" s="257" t="str">
        <f t="shared" si="13"/>
        <v>9|4</v>
      </c>
      <c r="B83" s="258" t="s">
        <v>95</v>
      </c>
      <c r="C83" s="253" t="s">
        <v>151</v>
      </c>
      <c r="D83" s="254">
        <v>4</v>
      </c>
      <c r="E83" s="260"/>
      <c r="F83" s="260"/>
      <c r="G83" s="260">
        <v>5</v>
      </c>
      <c r="H83" s="260">
        <v>15</v>
      </c>
      <c r="I83" s="260">
        <v>20</v>
      </c>
      <c r="J83" s="259">
        <v>20</v>
      </c>
      <c r="K83" s="259">
        <v>20</v>
      </c>
      <c r="L83" s="259">
        <v>15</v>
      </c>
      <c r="M83" s="259">
        <v>5</v>
      </c>
      <c r="N83" s="259"/>
      <c r="O83" s="259"/>
      <c r="P83" s="259"/>
      <c r="S83" s="46">
        <f t="shared" si="12"/>
        <v>100</v>
      </c>
    </row>
    <row r="84" spans="1:19" x14ac:dyDescent="0.2">
      <c r="A84" s="257" t="str">
        <f t="shared" si="13"/>
        <v>9|5</v>
      </c>
      <c r="B84" s="258" t="s">
        <v>90</v>
      </c>
      <c r="C84" s="253" t="s">
        <v>152</v>
      </c>
      <c r="D84" s="254">
        <v>5</v>
      </c>
      <c r="E84" s="260"/>
      <c r="F84" s="260">
        <v>5</v>
      </c>
      <c r="G84" s="260">
        <v>10</v>
      </c>
      <c r="H84" s="260">
        <v>15</v>
      </c>
      <c r="I84" s="260">
        <v>20</v>
      </c>
      <c r="J84" s="259">
        <v>20</v>
      </c>
      <c r="K84" s="259">
        <v>20</v>
      </c>
      <c r="L84" s="259">
        <v>10</v>
      </c>
      <c r="M84" s="259"/>
      <c r="N84" s="259"/>
      <c r="O84" s="259"/>
      <c r="P84" s="259"/>
      <c r="S84" s="46">
        <f t="shared" si="12"/>
        <v>100</v>
      </c>
    </row>
    <row r="85" spans="1:19" x14ac:dyDescent="0.2">
      <c r="A85" s="257" t="str">
        <f t="shared" si="13"/>
        <v>9|6</v>
      </c>
      <c r="B85" s="258" t="s">
        <v>96</v>
      </c>
      <c r="C85" s="253" t="s">
        <v>298</v>
      </c>
      <c r="D85" s="254">
        <v>3</v>
      </c>
      <c r="E85" s="260"/>
      <c r="F85" s="260"/>
      <c r="G85" s="260">
        <v>5</v>
      </c>
      <c r="H85" s="260">
        <v>10</v>
      </c>
      <c r="I85" s="260">
        <v>20</v>
      </c>
      <c r="J85" s="259">
        <v>20</v>
      </c>
      <c r="K85" s="259">
        <v>20</v>
      </c>
      <c r="L85" s="259">
        <v>15</v>
      </c>
      <c r="M85" s="259">
        <v>10</v>
      </c>
      <c r="N85" s="259"/>
      <c r="O85" s="259"/>
      <c r="P85" s="259"/>
      <c r="S85" s="46">
        <f t="shared" si="12"/>
        <v>100</v>
      </c>
    </row>
    <row r="86" spans="1:19" x14ac:dyDescent="0.2">
      <c r="A86" s="257" t="str">
        <f t="shared" si="13"/>
        <v>9|7</v>
      </c>
      <c r="B86" s="258" t="s">
        <v>149</v>
      </c>
      <c r="C86" s="253" t="s">
        <v>156</v>
      </c>
      <c r="D86" s="254">
        <v>5</v>
      </c>
      <c r="E86" s="260"/>
      <c r="F86" s="260"/>
      <c r="G86" s="260"/>
      <c r="H86" s="260">
        <v>15</v>
      </c>
      <c r="I86" s="260">
        <v>15</v>
      </c>
      <c r="J86" s="259">
        <v>15</v>
      </c>
      <c r="K86" s="259">
        <v>20</v>
      </c>
      <c r="L86" s="259">
        <v>20</v>
      </c>
      <c r="M86" s="259">
        <v>15</v>
      </c>
      <c r="N86" s="259"/>
      <c r="O86" s="259"/>
      <c r="P86" s="259"/>
      <c r="S86" s="46">
        <f t="shared" si="12"/>
        <v>100</v>
      </c>
    </row>
    <row r="87" spans="1:19" x14ac:dyDescent="0.2">
      <c r="A87" s="257" t="str">
        <f t="shared" si="13"/>
        <v>9|8</v>
      </c>
      <c r="B87" s="258" t="s">
        <v>108</v>
      </c>
      <c r="C87" s="253" t="s">
        <v>157</v>
      </c>
      <c r="D87" s="254">
        <v>6</v>
      </c>
      <c r="E87" s="260"/>
      <c r="F87" s="260"/>
      <c r="G87" s="260"/>
      <c r="H87" s="260">
        <v>10</v>
      </c>
      <c r="I87" s="260">
        <v>20</v>
      </c>
      <c r="J87" s="259">
        <v>30</v>
      </c>
      <c r="K87" s="259">
        <v>20</v>
      </c>
      <c r="L87" s="259">
        <v>10</v>
      </c>
      <c r="M87" s="259">
        <v>10</v>
      </c>
      <c r="N87" s="259"/>
      <c r="O87" s="259"/>
      <c r="P87" s="259"/>
      <c r="S87" s="46">
        <f t="shared" si="12"/>
        <v>100</v>
      </c>
    </row>
    <row r="88" spans="1:19" x14ac:dyDescent="0.2">
      <c r="A88" s="257" t="str">
        <f t="shared" si="13"/>
        <v>9|9</v>
      </c>
      <c r="B88" s="258" t="s">
        <v>158</v>
      </c>
      <c r="C88" s="253" t="s">
        <v>159</v>
      </c>
      <c r="D88" s="254">
        <v>6</v>
      </c>
      <c r="E88" s="260">
        <v>5</v>
      </c>
      <c r="F88" s="260">
        <v>5</v>
      </c>
      <c r="G88" s="260">
        <v>10</v>
      </c>
      <c r="H88" s="260">
        <v>15</v>
      </c>
      <c r="I88" s="260">
        <v>20</v>
      </c>
      <c r="J88" s="259">
        <v>15</v>
      </c>
      <c r="K88" s="259">
        <v>15</v>
      </c>
      <c r="L88" s="259">
        <v>15</v>
      </c>
      <c r="M88" s="259"/>
      <c r="N88" s="259"/>
      <c r="O88" s="259"/>
      <c r="P88" s="259"/>
      <c r="S88" s="46">
        <f t="shared" si="12"/>
        <v>100</v>
      </c>
    </row>
    <row r="89" spans="1:19" x14ac:dyDescent="0.2">
      <c r="A89" s="257" t="str">
        <f t="shared" si="13"/>
        <v>9|10</v>
      </c>
      <c r="B89" s="258" t="s">
        <v>160</v>
      </c>
      <c r="C89" s="253" t="s">
        <v>153</v>
      </c>
      <c r="D89" s="254"/>
      <c r="E89" s="260">
        <v>10</v>
      </c>
      <c r="F89" s="260">
        <v>15</v>
      </c>
      <c r="G89" s="260">
        <v>20</v>
      </c>
      <c r="H89" s="260">
        <v>20</v>
      </c>
      <c r="I89" s="260">
        <v>20</v>
      </c>
      <c r="J89" s="259">
        <v>10</v>
      </c>
      <c r="K89" s="259">
        <v>5</v>
      </c>
      <c r="L89" s="259"/>
      <c r="M89" s="259"/>
      <c r="N89" s="259"/>
      <c r="O89" s="259"/>
      <c r="P89" s="259"/>
      <c r="S89" s="46">
        <f t="shared" si="12"/>
        <v>100</v>
      </c>
    </row>
    <row r="90" spans="1:19" x14ac:dyDescent="0.2">
      <c r="A90" s="257" t="str">
        <f t="shared" si="13"/>
        <v>9|11</v>
      </c>
      <c r="B90" s="258" t="s">
        <v>164</v>
      </c>
      <c r="C90" s="253" t="s">
        <v>169</v>
      </c>
      <c r="D90" s="254"/>
      <c r="E90" s="260">
        <v>3</v>
      </c>
      <c r="F90" s="260">
        <v>5</v>
      </c>
      <c r="G90" s="260">
        <v>11</v>
      </c>
      <c r="H90" s="260">
        <v>15</v>
      </c>
      <c r="I90" s="260">
        <v>20</v>
      </c>
      <c r="J90" s="259">
        <v>16</v>
      </c>
      <c r="K90" s="259">
        <v>14</v>
      </c>
      <c r="L90" s="259">
        <v>10</v>
      </c>
      <c r="M90" s="259">
        <v>6</v>
      </c>
      <c r="N90" s="259"/>
      <c r="O90" s="259"/>
      <c r="P90" s="259"/>
      <c r="S90" s="46">
        <f t="shared" si="12"/>
        <v>100</v>
      </c>
    </row>
    <row r="91" spans="1:19" ht="5.45" customHeight="1" x14ac:dyDescent="0.2"/>
    <row r="92" spans="1:19" ht="13.5" thickBot="1" x14ac:dyDescent="0.25">
      <c r="A92" s="261" t="s">
        <v>35</v>
      </c>
      <c r="B92" s="262">
        <v>10</v>
      </c>
      <c r="C92" s="263"/>
      <c r="D92" s="264"/>
      <c r="E92" s="250"/>
      <c r="F92" s="250"/>
      <c r="G92" s="250"/>
      <c r="H92" s="250"/>
      <c r="I92" s="250"/>
      <c r="J92" s="250"/>
      <c r="K92" s="250"/>
      <c r="L92" s="250"/>
      <c r="M92" s="250"/>
      <c r="N92" s="250"/>
      <c r="O92" s="250"/>
      <c r="P92" s="250"/>
    </row>
    <row r="93" spans="1:19" ht="13.5" thickTop="1" x14ac:dyDescent="0.2">
      <c r="A93" s="265" t="str">
        <f>CONCATENATE($B$92,"|",B93)</f>
        <v>10|1</v>
      </c>
      <c r="B93" s="252">
        <v>1</v>
      </c>
      <c r="C93" s="253" t="s">
        <v>154</v>
      </c>
      <c r="D93" s="254">
        <v>1</v>
      </c>
      <c r="E93" s="255">
        <v>20</v>
      </c>
      <c r="F93" s="255">
        <v>20</v>
      </c>
      <c r="G93" s="255">
        <v>20</v>
      </c>
      <c r="H93" s="255">
        <v>10</v>
      </c>
      <c r="I93" s="255">
        <v>10</v>
      </c>
      <c r="J93" s="256">
        <v>10</v>
      </c>
      <c r="K93" s="256">
        <v>10</v>
      </c>
      <c r="L93" s="256"/>
      <c r="M93" s="256"/>
      <c r="N93" s="256"/>
      <c r="O93" s="256"/>
      <c r="P93" s="256"/>
      <c r="S93" s="46">
        <f>SUM(E93:P93)</f>
        <v>100</v>
      </c>
    </row>
    <row r="94" spans="1:19" x14ac:dyDescent="0.2">
      <c r="A94" s="257" t="str">
        <f>CONCATENATE($B$92,"|",B94)</f>
        <v>10|2</v>
      </c>
      <c r="B94" s="258" t="s">
        <v>91</v>
      </c>
      <c r="C94" s="253" t="s">
        <v>150</v>
      </c>
      <c r="D94" s="254">
        <v>2</v>
      </c>
      <c r="E94" s="255">
        <v>5</v>
      </c>
      <c r="F94" s="255">
        <v>10</v>
      </c>
      <c r="G94" s="255">
        <v>15</v>
      </c>
      <c r="H94" s="255">
        <v>20</v>
      </c>
      <c r="I94" s="255">
        <v>20</v>
      </c>
      <c r="J94" s="259">
        <v>15</v>
      </c>
      <c r="K94" s="259">
        <v>10</v>
      </c>
      <c r="L94" s="259">
        <v>5</v>
      </c>
      <c r="M94" s="259"/>
      <c r="N94" s="259"/>
      <c r="O94" s="259"/>
      <c r="P94" s="259"/>
      <c r="S94" s="46">
        <f t="shared" ref="S94:S103" si="14">SUM(E94:P94)</f>
        <v>100</v>
      </c>
    </row>
    <row r="95" spans="1:19" x14ac:dyDescent="0.2">
      <c r="A95" s="257" t="str">
        <f t="shared" ref="A95:A103" si="15">CONCATENATE($B$92,"|",B95)</f>
        <v>10|3</v>
      </c>
      <c r="B95" s="258" t="s">
        <v>94</v>
      </c>
      <c r="C95" s="253" t="s">
        <v>155</v>
      </c>
      <c r="D95" s="254">
        <v>3</v>
      </c>
      <c r="E95" s="260"/>
      <c r="F95" s="260">
        <v>5</v>
      </c>
      <c r="G95" s="260">
        <v>10</v>
      </c>
      <c r="H95" s="260">
        <v>15</v>
      </c>
      <c r="I95" s="260">
        <v>15</v>
      </c>
      <c r="J95" s="259">
        <v>15</v>
      </c>
      <c r="K95" s="259">
        <v>15</v>
      </c>
      <c r="L95" s="259">
        <v>15</v>
      </c>
      <c r="M95" s="259">
        <v>10</v>
      </c>
      <c r="N95" s="259"/>
      <c r="O95" s="259"/>
      <c r="P95" s="259"/>
      <c r="S95" s="46">
        <f t="shared" si="14"/>
        <v>100</v>
      </c>
    </row>
    <row r="96" spans="1:19" x14ac:dyDescent="0.2">
      <c r="A96" s="257" t="str">
        <f t="shared" si="15"/>
        <v>10|4</v>
      </c>
      <c r="B96" s="258" t="s">
        <v>95</v>
      </c>
      <c r="C96" s="253" t="s">
        <v>151</v>
      </c>
      <c r="D96" s="254">
        <v>4</v>
      </c>
      <c r="E96" s="260"/>
      <c r="F96" s="260"/>
      <c r="G96" s="260">
        <v>5</v>
      </c>
      <c r="H96" s="260">
        <v>5</v>
      </c>
      <c r="I96" s="260">
        <v>15</v>
      </c>
      <c r="J96" s="259">
        <v>20</v>
      </c>
      <c r="K96" s="259">
        <v>20</v>
      </c>
      <c r="L96" s="259">
        <v>15</v>
      </c>
      <c r="M96" s="259">
        <v>10</v>
      </c>
      <c r="N96" s="259">
        <v>10</v>
      </c>
      <c r="O96" s="259"/>
      <c r="P96" s="259"/>
      <c r="S96" s="46">
        <f t="shared" si="14"/>
        <v>100</v>
      </c>
    </row>
    <row r="97" spans="1:19" x14ac:dyDescent="0.2">
      <c r="A97" s="257" t="str">
        <f t="shared" si="15"/>
        <v>10|5</v>
      </c>
      <c r="B97" s="258" t="s">
        <v>90</v>
      </c>
      <c r="C97" s="253" t="s">
        <v>152</v>
      </c>
      <c r="D97" s="254">
        <v>5</v>
      </c>
      <c r="E97" s="260"/>
      <c r="F97" s="260"/>
      <c r="G97" s="260">
        <v>10</v>
      </c>
      <c r="H97" s="260">
        <v>10</v>
      </c>
      <c r="I97" s="260">
        <v>10</v>
      </c>
      <c r="J97" s="259">
        <v>20</v>
      </c>
      <c r="K97" s="259">
        <v>20</v>
      </c>
      <c r="L97" s="259">
        <v>20</v>
      </c>
      <c r="M97" s="259">
        <v>10</v>
      </c>
      <c r="N97" s="259"/>
      <c r="O97" s="259"/>
      <c r="P97" s="259"/>
      <c r="S97" s="46">
        <f t="shared" si="14"/>
        <v>100</v>
      </c>
    </row>
    <row r="98" spans="1:19" x14ac:dyDescent="0.2">
      <c r="A98" s="257" t="str">
        <f t="shared" si="15"/>
        <v>10|6</v>
      </c>
      <c r="B98" s="258" t="s">
        <v>96</v>
      </c>
      <c r="C98" s="253" t="s">
        <v>298</v>
      </c>
      <c r="D98" s="254">
        <v>3</v>
      </c>
      <c r="E98" s="260"/>
      <c r="F98" s="260"/>
      <c r="G98" s="260"/>
      <c r="H98" s="260">
        <v>5</v>
      </c>
      <c r="I98" s="260">
        <v>10</v>
      </c>
      <c r="J98" s="260">
        <v>15</v>
      </c>
      <c r="K98" s="259">
        <v>20</v>
      </c>
      <c r="L98" s="259">
        <v>20</v>
      </c>
      <c r="M98" s="259">
        <v>15</v>
      </c>
      <c r="N98" s="259">
        <v>15</v>
      </c>
      <c r="O98" s="259"/>
      <c r="P98" s="259"/>
      <c r="S98" s="46">
        <f t="shared" si="14"/>
        <v>100</v>
      </c>
    </row>
    <row r="99" spans="1:19" x14ac:dyDescent="0.2">
      <c r="A99" s="257" t="str">
        <f t="shared" si="15"/>
        <v>10|7</v>
      </c>
      <c r="B99" s="258" t="s">
        <v>149</v>
      </c>
      <c r="C99" s="253" t="s">
        <v>156</v>
      </c>
      <c r="D99" s="254">
        <v>5</v>
      </c>
      <c r="E99" s="260"/>
      <c r="F99" s="260"/>
      <c r="G99" s="260"/>
      <c r="H99" s="260">
        <v>15</v>
      </c>
      <c r="I99" s="260">
        <v>15</v>
      </c>
      <c r="J99" s="259">
        <v>15</v>
      </c>
      <c r="K99" s="259">
        <v>20</v>
      </c>
      <c r="L99" s="259">
        <v>15</v>
      </c>
      <c r="M99" s="259">
        <v>10</v>
      </c>
      <c r="N99" s="259">
        <v>10</v>
      </c>
      <c r="O99" s="259"/>
      <c r="P99" s="259"/>
      <c r="S99" s="46">
        <f t="shared" si="14"/>
        <v>100</v>
      </c>
    </row>
    <row r="100" spans="1:19" x14ac:dyDescent="0.2">
      <c r="A100" s="257" t="str">
        <f t="shared" si="15"/>
        <v>10|8</v>
      </c>
      <c r="B100" s="258" t="s">
        <v>108</v>
      </c>
      <c r="C100" s="253" t="s">
        <v>157</v>
      </c>
      <c r="D100" s="254">
        <v>6</v>
      </c>
      <c r="E100" s="260"/>
      <c r="F100" s="260"/>
      <c r="G100" s="260"/>
      <c r="H100" s="260">
        <v>10</v>
      </c>
      <c r="I100" s="260">
        <v>20</v>
      </c>
      <c r="J100" s="259">
        <v>20</v>
      </c>
      <c r="K100" s="259">
        <v>20</v>
      </c>
      <c r="L100" s="259">
        <v>10</v>
      </c>
      <c r="M100" s="259">
        <v>10</v>
      </c>
      <c r="N100" s="259">
        <v>10</v>
      </c>
      <c r="O100" s="259"/>
      <c r="P100" s="259"/>
      <c r="S100" s="46">
        <f t="shared" si="14"/>
        <v>100</v>
      </c>
    </row>
    <row r="101" spans="1:19" x14ac:dyDescent="0.2">
      <c r="A101" s="257" t="str">
        <f t="shared" si="15"/>
        <v>10|9</v>
      </c>
      <c r="B101" s="258" t="s">
        <v>158</v>
      </c>
      <c r="C101" s="253" t="s">
        <v>159</v>
      </c>
      <c r="D101" s="254">
        <v>6</v>
      </c>
      <c r="E101" s="260">
        <v>5</v>
      </c>
      <c r="F101" s="260">
        <v>5</v>
      </c>
      <c r="G101" s="260">
        <v>10</v>
      </c>
      <c r="H101" s="260">
        <v>10</v>
      </c>
      <c r="I101" s="260">
        <v>10</v>
      </c>
      <c r="J101" s="259">
        <v>15</v>
      </c>
      <c r="K101" s="259">
        <v>15</v>
      </c>
      <c r="L101" s="259">
        <v>10</v>
      </c>
      <c r="M101" s="259">
        <v>10</v>
      </c>
      <c r="N101" s="259">
        <v>10</v>
      </c>
      <c r="O101" s="259"/>
      <c r="P101" s="259"/>
      <c r="S101" s="46">
        <f t="shared" si="14"/>
        <v>100</v>
      </c>
    </row>
    <row r="102" spans="1:19" x14ac:dyDescent="0.2">
      <c r="A102" s="257" t="str">
        <f t="shared" si="15"/>
        <v>10|10</v>
      </c>
      <c r="B102" s="258" t="s">
        <v>160</v>
      </c>
      <c r="C102" s="253" t="s">
        <v>153</v>
      </c>
      <c r="D102" s="254"/>
      <c r="E102" s="260">
        <v>10</v>
      </c>
      <c r="F102" s="260">
        <v>15</v>
      </c>
      <c r="G102" s="260">
        <v>15</v>
      </c>
      <c r="H102" s="260">
        <v>15</v>
      </c>
      <c r="I102" s="260">
        <v>15</v>
      </c>
      <c r="J102" s="259">
        <v>15</v>
      </c>
      <c r="K102" s="259">
        <v>10</v>
      </c>
      <c r="L102" s="259">
        <v>5</v>
      </c>
      <c r="M102" s="259"/>
      <c r="N102" s="259"/>
      <c r="O102" s="259"/>
      <c r="P102" s="259"/>
      <c r="S102" s="46">
        <f t="shared" si="14"/>
        <v>100</v>
      </c>
    </row>
    <row r="103" spans="1:19" x14ac:dyDescent="0.2">
      <c r="A103" s="257" t="str">
        <f t="shared" si="15"/>
        <v>10|11</v>
      </c>
      <c r="B103" s="258" t="s">
        <v>164</v>
      </c>
      <c r="C103" s="253" t="s">
        <v>169</v>
      </c>
      <c r="D103" s="254"/>
      <c r="E103" s="260">
        <v>2</v>
      </c>
      <c r="F103" s="260">
        <v>2</v>
      </c>
      <c r="G103" s="260">
        <v>14</v>
      </c>
      <c r="H103" s="260">
        <v>14</v>
      </c>
      <c r="I103" s="260">
        <v>15</v>
      </c>
      <c r="J103" s="259">
        <v>15</v>
      </c>
      <c r="K103" s="259">
        <v>15</v>
      </c>
      <c r="L103" s="259">
        <v>15</v>
      </c>
      <c r="M103" s="259">
        <v>5</v>
      </c>
      <c r="N103" s="259">
        <v>3</v>
      </c>
      <c r="O103" s="259"/>
      <c r="P103" s="259"/>
      <c r="S103" s="46">
        <f t="shared" si="14"/>
        <v>100</v>
      </c>
    </row>
    <row r="104" spans="1:19" ht="5.45" customHeight="1" x14ac:dyDescent="0.2"/>
    <row r="105" spans="1:19" ht="13.5" thickBot="1" x14ac:dyDescent="0.25">
      <c r="A105" s="261" t="s">
        <v>35</v>
      </c>
      <c r="B105" s="262">
        <v>11</v>
      </c>
      <c r="C105" s="263"/>
      <c r="D105" s="264"/>
      <c r="E105" s="250"/>
      <c r="F105" s="250"/>
      <c r="G105" s="250"/>
      <c r="H105" s="250"/>
      <c r="I105" s="250"/>
      <c r="J105" s="250"/>
      <c r="K105" s="250"/>
      <c r="L105" s="250"/>
      <c r="M105" s="250"/>
      <c r="N105" s="250"/>
      <c r="O105" s="250"/>
      <c r="P105" s="250"/>
    </row>
    <row r="106" spans="1:19" ht="13.5" thickTop="1" x14ac:dyDescent="0.2">
      <c r="A106" s="265" t="str">
        <f>CONCATENATE($B$105,"|",B106)</f>
        <v>11|1</v>
      </c>
      <c r="B106" s="252">
        <v>1</v>
      </c>
      <c r="C106" s="253" t="s">
        <v>154</v>
      </c>
      <c r="D106" s="254">
        <v>1</v>
      </c>
      <c r="E106" s="255">
        <v>10</v>
      </c>
      <c r="F106" s="255">
        <v>20</v>
      </c>
      <c r="G106" s="255">
        <v>20</v>
      </c>
      <c r="H106" s="255">
        <v>20</v>
      </c>
      <c r="I106" s="255">
        <v>10</v>
      </c>
      <c r="J106" s="256">
        <v>10</v>
      </c>
      <c r="K106" s="256">
        <v>10</v>
      </c>
      <c r="L106" s="256"/>
      <c r="M106" s="256"/>
      <c r="N106" s="256"/>
      <c r="O106" s="256"/>
      <c r="P106" s="256"/>
      <c r="S106" s="46">
        <f>SUM(E106:P106)</f>
        <v>100</v>
      </c>
    </row>
    <row r="107" spans="1:19" x14ac:dyDescent="0.2">
      <c r="A107" s="257" t="str">
        <f>CONCATENATE($B$105,"|",B107)</f>
        <v>11|2</v>
      </c>
      <c r="B107" s="258" t="s">
        <v>91</v>
      </c>
      <c r="C107" s="253" t="s">
        <v>150</v>
      </c>
      <c r="D107" s="254">
        <v>2</v>
      </c>
      <c r="E107" s="255">
        <v>5</v>
      </c>
      <c r="F107" s="255">
        <v>10</v>
      </c>
      <c r="G107" s="255">
        <v>10</v>
      </c>
      <c r="H107" s="255">
        <v>15</v>
      </c>
      <c r="I107" s="255">
        <v>15</v>
      </c>
      <c r="J107" s="259">
        <v>15</v>
      </c>
      <c r="K107" s="259">
        <v>15</v>
      </c>
      <c r="L107" s="259">
        <v>10</v>
      </c>
      <c r="M107" s="259">
        <v>5</v>
      </c>
      <c r="N107" s="259"/>
      <c r="O107" s="259"/>
      <c r="P107" s="259"/>
      <c r="S107" s="46">
        <f t="shared" ref="S107:S116" si="16">SUM(E107:P107)</f>
        <v>100</v>
      </c>
    </row>
    <row r="108" spans="1:19" x14ac:dyDescent="0.2">
      <c r="A108" s="257" t="str">
        <f t="shared" ref="A108:A116" si="17">CONCATENATE($B$105,"|",B108)</f>
        <v>11|3</v>
      </c>
      <c r="B108" s="258" t="s">
        <v>94</v>
      </c>
      <c r="C108" s="253" t="s">
        <v>155</v>
      </c>
      <c r="D108" s="254">
        <v>3</v>
      </c>
      <c r="E108" s="260"/>
      <c r="F108" s="260">
        <v>5</v>
      </c>
      <c r="G108" s="260">
        <v>10</v>
      </c>
      <c r="H108" s="260">
        <v>10</v>
      </c>
      <c r="I108" s="260">
        <v>15</v>
      </c>
      <c r="J108" s="259">
        <v>15</v>
      </c>
      <c r="K108" s="259">
        <v>15</v>
      </c>
      <c r="L108" s="259">
        <v>10</v>
      </c>
      <c r="M108" s="259">
        <v>10</v>
      </c>
      <c r="N108" s="259">
        <v>10</v>
      </c>
      <c r="O108" s="259"/>
      <c r="P108" s="259"/>
      <c r="S108" s="46">
        <f t="shared" si="16"/>
        <v>100</v>
      </c>
    </row>
    <row r="109" spans="1:19" x14ac:dyDescent="0.2">
      <c r="A109" s="257" t="str">
        <f t="shared" si="17"/>
        <v>11|4</v>
      </c>
      <c r="B109" s="258" t="s">
        <v>95</v>
      </c>
      <c r="C109" s="253" t="s">
        <v>151</v>
      </c>
      <c r="D109" s="254">
        <v>4</v>
      </c>
      <c r="E109" s="260"/>
      <c r="F109" s="260"/>
      <c r="G109" s="260">
        <v>5</v>
      </c>
      <c r="H109" s="260">
        <v>10</v>
      </c>
      <c r="I109" s="260">
        <v>10</v>
      </c>
      <c r="J109" s="259">
        <v>15</v>
      </c>
      <c r="K109" s="259">
        <v>15</v>
      </c>
      <c r="L109" s="259">
        <v>15</v>
      </c>
      <c r="M109" s="259">
        <v>10</v>
      </c>
      <c r="N109" s="259">
        <v>10</v>
      </c>
      <c r="O109" s="259">
        <v>10</v>
      </c>
      <c r="P109" s="259"/>
      <c r="S109" s="46">
        <f t="shared" si="16"/>
        <v>100</v>
      </c>
    </row>
    <row r="110" spans="1:19" x14ac:dyDescent="0.2">
      <c r="A110" s="257" t="str">
        <f t="shared" si="17"/>
        <v>11|5</v>
      </c>
      <c r="B110" s="258" t="s">
        <v>90</v>
      </c>
      <c r="C110" s="253" t="s">
        <v>152</v>
      </c>
      <c r="D110" s="254">
        <v>5</v>
      </c>
      <c r="E110" s="260"/>
      <c r="F110" s="260"/>
      <c r="G110" s="260">
        <v>10</v>
      </c>
      <c r="H110" s="260">
        <v>10</v>
      </c>
      <c r="I110" s="260">
        <v>10</v>
      </c>
      <c r="J110" s="259">
        <v>15</v>
      </c>
      <c r="K110" s="259">
        <v>15</v>
      </c>
      <c r="L110" s="259">
        <v>15</v>
      </c>
      <c r="M110" s="259">
        <v>15</v>
      </c>
      <c r="N110" s="259">
        <v>10</v>
      </c>
      <c r="O110" s="259"/>
      <c r="P110" s="259"/>
      <c r="S110" s="46">
        <f t="shared" si="16"/>
        <v>100</v>
      </c>
    </row>
    <row r="111" spans="1:19" x14ac:dyDescent="0.2">
      <c r="A111" s="257" t="str">
        <f t="shared" si="17"/>
        <v>11|6</v>
      </c>
      <c r="B111" s="258" t="s">
        <v>96</v>
      </c>
      <c r="C111" s="253" t="s">
        <v>298</v>
      </c>
      <c r="D111" s="254">
        <v>3</v>
      </c>
      <c r="E111" s="260"/>
      <c r="F111" s="260"/>
      <c r="G111" s="260"/>
      <c r="H111" s="260">
        <v>5</v>
      </c>
      <c r="I111" s="260">
        <v>10</v>
      </c>
      <c r="J111" s="260">
        <v>15</v>
      </c>
      <c r="K111" s="259">
        <v>15</v>
      </c>
      <c r="L111" s="259">
        <v>15</v>
      </c>
      <c r="M111" s="259">
        <v>15</v>
      </c>
      <c r="N111" s="259">
        <v>15</v>
      </c>
      <c r="O111" s="259">
        <v>10</v>
      </c>
      <c r="P111" s="259"/>
      <c r="S111" s="46">
        <f t="shared" si="16"/>
        <v>100</v>
      </c>
    </row>
    <row r="112" spans="1:19" x14ac:dyDescent="0.2">
      <c r="A112" s="257" t="str">
        <f t="shared" si="17"/>
        <v>11|7</v>
      </c>
      <c r="B112" s="258" t="s">
        <v>149</v>
      </c>
      <c r="C112" s="253" t="s">
        <v>156</v>
      </c>
      <c r="D112" s="254">
        <v>5</v>
      </c>
      <c r="E112" s="260"/>
      <c r="F112" s="260"/>
      <c r="G112" s="260"/>
      <c r="H112" s="260">
        <v>10</v>
      </c>
      <c r="I112" s="260">
        <v>10</v>
      </c>
      <c r="J112" s="259">
        <v>15</v>
      </c>
      <c r="K112" s="259">
        <v>20</v>
      </c>
      <c r="L112" s="259">
        <v>15</v>
      </c>
      <c r="M112" s="259">
        <v>10</v>
      </c>
      <c r="N112" s="259">
        <v>10</v>
      </c>
      <c r="O112" s="259">
        <v>10</v>
      </c>
      <c r="P112" s="259"/>
      <c r="S112" s="46">
        <f t="shared" si="16"/>
        <v>100</v>
      </c>
    </row>
    <row r="113" spans="1:19" x14ac:dyDescent="0.2">
      <c r="A113" s="257" t="str">
        <f t="shared" si="17"/>
        <v>11|8</v>
      </c>
      <c r="B113" s="258" t="s">
        <v>108</v>
      </c>
      <c r="C113" s="253" t="s">
        <v>157</v>
      </c>
      <c r="D113" s="254">
        <v>6</v>
      </c>
      <c r="E113" s="260"/>
      <c r="F113" s="260"/>
      <c r="G113" s="260"/>
      <c r="H113" s="260">
        <v>10</v>
      </c>
      <c r="I113" s="260">
        <v>10</v>
      </c>
      <c r="J113" s="259">
        <v>20</v>
      </c>
      <c r="K113" s="259">
        <v>20</v>
      </c>
      <c r="L113" s="259">
        <v>10</v>
      </c>
      <c r="M113" s="259">
        <v>10</v>
      </c>
      <c r="N113" s="259">
        <v>10</v>
      </c>
      <c r="O113" s="259">
        <v>10</v>
      </c>
      <c r="P113" s="259"/>
      <c r="S113" s="46">
        <f t="shared" si="16"/>
        <v>100</v>
      </c>
    </row>
    <row r="114" spans="1:19" x14ac:dyDescent="0.2">
      <c r="A114" s="257" t="str">
        <f t="shared" si="17"/>
        <v>11|9</v>
      </c>
      <c r="B114" s="258" t="s">
        <v>158</v>
      </c>
      <c r="C114" s="253" t="s">
        <v>159</v>
      </c>
      <c r="D114" s="254">
        <v>6</v>
      </c>
      <c r="E114" s="260">
        <v>5</v>
      </c>
      <c r="F114" s="260">
        <v>5</v>
      </c>
      <c r="G114" s="260">
        <v>10</v>
      </c>
      <c r="H114" s="260">
        <v>10</v>
      </c>
      <c r="I114" s="260">
        <v>10</v>
      </c>
      <c r="J114" s="259">
        <v>10</v>
      </c>
      <c r="K114" s="259">
        <v>10</v>
      </c>
      <c r="L114" s="259">
        <v>10</v>
      </c>
      <c r="M114" s="259">
        <v>10</v>
      </c>
      <c r="N114" s="259">
        <v>10</v>
      </c>
      <c r="O114" s="259">
        <v>10</v>
      </c>
      <c r="P114" s="259"/>
      <c r="S114" s="46">
        <f t="shared" si="16"/>
        <v>100</v>
      </c>
    </row>
    <row r="115" spans="1:19" x14ac:dyDescent="0.2">
      <c r="A115" s="257" t="str">
        <f t="shared" si="17"/>
        <v>11|10</v>
      </c>
      <c r="B115" s="258" t="s">
        <v>160</v>
      </c>
      <c r="C115" s="253" t="s">
        <v>153</v>
      </c>
      <c r="D115" s="254"/>
      <c r="E115" s="260">
        <v>10</v>
      </c>
      <c r="F115" s="260">
        <v>10</v>
      </c>
      <c r="G115" s="260">
        <v>15</v>
      </c>
      <c r="H115" s="260">
        <v>15</v>
      </c>
      <c r="I115" s="260">
        <v>15</v>
      </c>
      <c r="J115" s="259">
        <v>10</v>
      </c>
      <c r="K115" s="259">
        <v>10</v>
      </c>
      <c r="L115" s="259">
        <v>10</v>
      </c>
      <c r="M115" s="259">
        <v>5</v>
      </c>
      <c r="N115" s="259"/>
      <c r="O115" s="259"/>
      <c r="P115" s="259"/>
      <c r="S115" s="46">
        <f t="shared" si="16"/>
        <v>100</v>
      </c>
    </row>
    <row r="116" spans="1:19" x14ac:dyDescent="0.2">
      <c r="A116" s="257" t="str">
        <f t="shared" si="17"/>
        <v>11|11</v>
      </c>
      <c r="B116" s="258" t="s">
        <v>164</v>
      </c>
      <c r="C116" s="253" t="s">
        <v>169</v>
      </c>
      <c r="D116" s="254"/>
      <c r="E116" s="260">
        <v>1</v>
      </c>
      <c r="F116" s="260">
        <v>1</v>
      </c>
      <c r="G116" s="260">
        <v>10</v>
      </c>
      <c r="H116" s="260">
        <v>15</v>
      </c>
      <c r="I116" s="260">
        <v>15</v>
      </c>
      <c r="J116" s="259">
        <v>15</v>
      </c>
      <c r="K116" s="259">
        <v>15</v>
      </c>
      <c r="L116" s="259">
        <v>15</v>
      </c>
      <c r="M116" s="259">
        <v>5</v>
      </c>
      <c r="N116" s="259">
        <v>3</v>
      </c>
      <c r="O116" s="259">
        <v>5</v>
      </c>
      <c r="P116" s="259"/>
      <c r="S116" s="46">
        <f t="shared" si="16"/>
        <v>100</v>
      </c>
    </row>
    <row r="117" spans="1:19" ht="5.45" customHeight="1" x14ac:dyDescent="0.2"/>
    <row r="118" spans="1:19" ht="13.5" thickBot="1" x14ac:dyDescent="0.25">
      <c r="A118" s="261" t="s">
        <v>35</v>
      </c>
      <c r="B118" s="262">
        <v>12</v>
      </c>
      <c r="C118" s="263"/>
      <c r="D118" s="264"/>
      <c r="E118" s="250"/>
      <c r="F118" s="250"/>
      <c r="G118" s="250"/>
      <c r="H118" s="250"/>
      <c r="I118" s="250"/>
      <c r="J118" s="250"/>
      <c r="K118" s="250"/>
      <c r="L118" s="250"/>
      <c r="M118" s="250"/>
      <c r="N118" s="250"/>
      <c r="O118" s="250"/>
      <c r="P118" s="250"/>
    </row>
    <row r="119" spans="1:19" ht="13.5" thickTop="1" x14ac:dyDescent="0.2">
      <c r="A119" s="265" t="str">
        <f>CONCATENATE($B$118,"|",B119)</f>
        <v>12|1</v>
      </c>
      <c r="B119" s="252">
        <v>1</v>
      </c>
      <c r="C119" s="253" t="s">
        <v>154</v>
      </c>
      <c r="D119" s="254">
        <v>1</v>
      </c>
      <c r="E119" s="255">
        <v>10</v>
      </c>
      <c r="F119" s="255">
        <v>20</v>
      </c>
      <c r="G119" s="255">
        <v>20</v>
      </c>
      <c r="H119" s="255">
        <v>20</v>
      </c>
      <c r="I119" s="255">
        <v>10</v>
      </c>
      <c r="J119" s="256">
        <v>10</v>
      </c>
      <c r="K119" s="256">
        <v>10</v>
      </c>
      <c r="L119" s="256"/>
      <c r="M119" s="256"/>
      <c r="N119" s="256"/>
      <c r="O119" s="256"/>
      <c r="P119" s="256"/>
      <c r="S119" s="46">
        <f>SUM(E119:P119)</f>
        <v>100</v>
      </c>
    </row>
    <row r="120" spans="1:19" x14ac:dyDescent="0.2">
      <c r="A120" s="257" t="str">
        <f>CONCATENATE($B$118,"|",B120)</f>
        <v>12|2</v>
      </c>
      <c r="B120" s="258" t="s">
        <v>91</v>
      </c>
      <c r="C120" s="253" t="s">
        <v>150</v>
      </c>
      <c r="D120" s="254">
        <v>2</v>
      </c>
      <c r="E120" s="255">
        <v>5</v>
      </c>
      <c r="F120" s="255">
        <v>10</v>
      </c>
      <c r="G120" s="255">
        <v>10</v>
      </c>
      <c r="H120" s="255">
        <v>15</v>
      </c>
      <c r="I120" s="255">
        <v>15</v>
      </c>
      <c r="J120" s="259">
        <v>15</v>
      </c>
      <c r="K120" s="259">
        <v>10</v>
      </c>
      <c r="L120" s="259">
        <v>10</v>
      </c>
      <c r="M120" s="259">
        <v>10</v>
      </c>
      <c r="N120" s="259"/>
      <c r="O120" s="259"/>
      <c r="P120" s="259"/>
      <c r="S120" s="46">
        <f t="shared" ref="S120:S129" si="18">SUM(E120:P120)</f>
        <v>100</v>
      </c>
    </row>
    <row r="121" spans="1:19" x14ac:dyDescent="0.2">
      <c r="A121" s="257" t="str">
        <f t="shared" ref="A121:A129" si="19">CONCATENATE($B$118,"|",B121)</f>
        <v>12|3</v>
      </c>
      <c r="B121" s="258" t="s">
        <v>94</v>
      </c>
      <c r="C121" s="253" t="s">
        <v>155</v>
      </c>
      <c r="D121" s="254">
        <v>3</v>
      </c>
      <c r="E121" s="260"/>
      <c r="F121" s="260">
        <v>5</v>
      </c>
      <c r="G121" s="260">
        <v>10</v>
      </c>
      <c r="H121" s="260">
        <v>10</v>
      </c>
      <c r="I121" s="260">
        <v>10</v>
      </c>
      <c r="J121" s="259">
        <v>15</v>
      </c>
      <c r="K121" s="259">
        <v>15</v>
      </c>
      <c r="L121" s="259">
        <v>10</v>
      </c>
      <c r="M121" s="259">
        <v>10</v>
      </c>
      <c r="N121" s="259">
        <v>10</v>
      </c>
      <c r="O121" s="259">
        <v>5</v>
      </c>
      <c r="P121" s="259"/>
      <c r="S121" s="46">
        <f t="shared" si="18"/>
        <v>100</v>
      </c>
    </row>
    <row r="122" spans="1:19" x14ac:dyDescent="0.2">
      <c r="A122" s="257" t="str">
        <f t="shared" si="19"/>
        <v>12|4</v>
      </c>
      <c r="B122" s="258" t="s">
        <v>95</v>
      </c>
      <c r="C122" s="253" t="s">
        <v>151</v>
      </c>
      <c r="D122" s="254">
        <v>4</v>
      </c>
      <c r="E122" s="260"/>
      <c r="F122" s="260"/>
      <c r="G122" s="260">
        <v>5</v>
      </c>
      <c r="H122" s="260">
        <v>10</v>
      </c>
      <c r="I122" s="260">
        <v>10</v>
      </c>
      <c r="J122" s="259">
        <v>10</v>
      </c>
      <c r="K122" s="259">
        <v>10</v>
      </c>
      <c r="L122" s="259">
        <v>15</v>
      </c>
      <c r="M122" s="259">
        <v>10</v>
      </c>
      <c r="N122" s="259">
        <v>15</v>
      </c>
      <c r="O122" s="259">
        <v>10</v>
      </c>
      <c r="P122" s="259">
        <v>5</v>
      </c>
      <c r="S122" s="46">
        <f t="shared" si="18"/>
        <v>100</v>
      </c>
    </row>
    <row r="123" spans="1:19" x14ac:dyDescent="0.2">
      <c r="A123" s="257" t="str">
        <f t="shared" si="19"/>
        <v>12|5</v>
      </c>
      <c r="B123" s="258" t="s">
        <v>90</v>
      </c>
      <c r="C123" s="253" t="s">
        <v>152</v>
      </c>
      <c r="D123" s="254">
        <v>5</v>
      </c>
      <c r="E123" s="260"/>
      <c r="F123" s="260"/>
      <c r="G123" s="260">
        <v>10</v>
      </c>
      <c r="H123" s="260">
        <v>10</v>
      </c>
      <c r="I123" s="260">
        <v>10</v>
      </c>
      <c r="J123" s="259">
        <v>10</v>
      </c>
      <c r="K123" s="259">
        <v>10</v>
      </c>
      <c r="L123" s="259">
        <v>15</v>
      </c>
      <c r="M123" s="259">
        <v>15</v>
      </c>
      <c r="N123" s="259">
        <v>10</v>
      </c>
      <c r="O123" s="259">
        <v>10</v>
      </c>
      <c r="P123" s="259"/>
      <c r="S123" s="46">
        <f t="shared" si="18"/>
        <v>100</v>
      </c>
    </row>
    <row r="124" spans="1:19" x14ac:dyDescent="0.2">
      <c r="A124" s="257" t="str">
        <f t="shared" si="19"/>
        <v>12|6</v>
      </c>
      <c r="B124" s="258" t="s">
        <v>96</v>
      </c>
      <c r="C124" s="253" t="s">
        <v>298</v>
      </c>
      <c r="D124" s="254">
        <v>3</v>
      </c>
      <c r="E124" s="260"/>
      <c r="F124" s="260"/>
      <c r="G124" s="260"/>
      <c r="H124" s="260">
        <v>5</v>
      </c>
      <c r="I124" s="260">
        <v>10</v>
      </c>
      <c r="J124" s="260">
        <v>10</v>
      </c>
      <c r="K124" s="259">
        <v>10</v>
      </c>
      <c r="L124" s="259">
        <v>15</v>
      </c>
      <c r="M124" s="259">
        <v>15</v>
      </c>
      <c r="N124" s="259">
        <v>15</v>
      </c>
      <c r="O124" s="259">
        <v>10</v>
      </c>
      <c r="P124" s="259">
        <v>10</v>
      </c>
      <c r="S124" s="46">
        <f t="shared" si="18"/>
        <v>100</v>
      </c>
    </row>
    <row r="125" spans="1:19" x14ac:dyDescent="0.2">
      <c r="A125" s="257" t="str">
        <f t="shared" si="19"/>
        <v>12|7</v>
      </c>
      <c r="B125" s="258" t="s">
        <v>149</v>
      </c>
      <c r="C125" s="253" t="s">
        <v>156</v>
      </c>
      <c r="D125" s="254">
        <v>5</v>
      </c>
      <c r="E125" s="260"/>
      <c r="F125" s="260"/>
      <c r="G125" s="260"/>
      <c r="H125" s="260">
        <v>5</v>
      </c>
      <c r="I125" s="260">
        <v>10</v>
      </c>
      <c r="J125" s="259">
        <v>10</v>
      </c>
      <c r="K125" s="259">
        <v>15</v>
      </c>
      <c r="L125" s="259">
        <v>15</v>
      </c>
      <c r="M125" s="259">
        <v>15</v>
      </c>
      <c r="N125" s="259">
        <v>10</v>
      </c>
      <c r="O125" s="259">
        <v>10</v>
      </c>
      <c r="P125" s="259">
        <v>10</v>
      </c>
      <c r="S125" s="46">
        <f t="shared" si="18"/>
        <v>100</v>
      </c>
    </row>
    <row r="126" spans="1:19" x14ac:dyDescent="0.2">
      <c r="A126" s="257" t="str">
        <f t="shared" si="19"/>
        <v>12|8</v>
      </c>
      <c r="B126" s="258" t="s">
        <v>108</v>
      </c>
      <c r="C126" s="253" t="s">
        <v>157</v>
      </c>
      <c r="D126" s="254">
        <v>6</v>
      </c>
      <c r="E126" s="260"/>
      <c r="F126" s="260"/>
      <c r="G126" s="260"/>
      <c r="H126" s="260">
        <v>10</v>
      </c>
      <c r="I126" s="260">
        <v>10</v>
      </c>
      <c r="J126" s="259">
        <v>10</v>
      </c>
      <c r="K126" s="259">
        <v>20</v>
      </c>
      <c r="L126" s="259">
        <v>10</v>
      </c>
      <c r="M126" s="259">
        <v>10</v>
      </c>
      <c r="N126" s="259">
        <v>10</v>
      </c>
      <c r="O126" s="259">
        <v>10</v>
      </c>
      <c r="P126" s="259">
        <v>10</v>
      </c>
      <c r="S126" s="46">
        <f t="shared" si="18"/>
        <v>100</v>
      </c>
    </row>
    <row r="127" spans="1:19" x14ac:dyDescent="0.2">
      <c r="A127" s="257" t="str">
        <f t="shared" si="19"/>
        <v>12|9</v>
      </c>
      <c r="B127" s="258" t="s">
        <v>158</v>
      </c>
      <c r="C127" s="253" t="s">
        <v>159</v>
      </c>
      <c r="D127" s="254">
        <v>6</v>
      </c>
      <c r="E127" s="260">
        <v>5</v>
      </c>
      <c r="F127" s="260">
        <v>5</v>
      </c>
      <c r="G127" s="260">
        <v>5</v>
      </c>
      <c r="H127" s="260">
        <v>5</v>
      </c>
      <c r="I127" s="260">
        <v>10</v>
      </c>
      <c r="J127" s="259">
        <v>10</v>
      </c>
      <c r="K127" s="259">
        <v>10</v>
      </c>
      <c r="L127" s="259">
        <v>10</v>
      </c>
      <c r="M127" s="259">
        <v>10</v>
      </c>
      <c r="N127" s="259">
        <v>10</v>
      </c>
      <c r="O127" s="259">
        <v>10</v>
      </c>
      <c r="P127" s="259">
        <v>10</v>
      </c>
      <c r="S127" s="46">
        <f t="shared" si="18"/>
        <v>100</v>
      </c>
    </row>
    <row r="128" spans="1:19" x14ac:dyDescent="0.2">
      <c r="A128" s="257" t="str">
        <f t="shared" si="19"/>
        <v>12|10</v>
      </c>
      <c r="B128" s="258" t="s">
        <v>160</v>
      </c>
      <c r="C128" s="253" t="s">
        <v>153</v>
      </c>
      <c r="D128" s="254"/>
      <c r="E128" s="260">
        <v>10</v>
      </c>
      <c r="F128" s="260">
        <v>15</v>
      </c>
      <c r="G128" s="260">
        <v>10</v>
      </c>
      <c r="H128" s="260">
        <v>10</v>
      </c>
      <c r="I128" s="260">
        <v>10</v>
      </c>
      <c r="J128" s="259">
        <v>10</v>
      </c>
      <c r="K128" s="259">
        <v>10</v>
      </c>
      <c r="L128" s="259">
        <v>10</v>
      </c>
      <c r="M128" s="259">
        <v>10</v>
      </c>
      <c r="N128" s="259">
        <v>5</v>
      </c>
      <c r="O128" s="259"/>
      <c r="P128" s="259"/>
      <c r="S128" s="46">
        <f t="shared" si="18"/>
        <v>100</v>
      </c>
    </row>
    <row r="129" spans="1:19" x14ac:dyDescent="0.2">
      <c r="A129" s="257" t="str">
        <f t="shared" si="19"/>
        <v>12|11</v>
      </c>
      <c r="B129" s="258" t="s">
        <v>164</v>
      </c>
      <c r="C129" s="253" t="s">
        <v>169</v>
      </c>
      <c r="D129" s="254"/>
      <c r="E129" s="260">
        <v>1</v>
      </c>
      <c r="F129" s="260">
        <v>1</v>
      </c>
      <c r="G129" s="260">
        <v>10</v>
      </c>
      <c r="H129" s="260">
        <v>10</v>
      </c>
      <c r="I129" s="260">
        <v>15</v>
      </c>
      <c r="J129" s="259">
        <v>15</v>
      </c>
      <c r="K129" s="259">
        <v>15</v>
      </c>
      <c r="L129" s="259">
        <v>15</v>
      </c>
      <c r="M129" s="259">
        <v>5</v>
      </c>
      <c r="N129" s="259">
        <v>3</v>
      </c>
      <c r="O129" s="259">
        <v>5</v>
      </c>
      <c r="P129" s="259">
        <v>5</v>
      </c>
      <c r="S129" s="46">
        <f t="shared" si="18"/>
        <v>100</v>
      </c>
    </row>
    <row r="131" spans="1:19" x14ac:dyDescent="0.2">
      <c r="S131" s="46">
        <f>SUM(S2:S129)</f>
        <v>11000</v>
      </c>
    </row>
  </sheetData>
  <sheetProtection sheet="1" objects="1" scenarios="1"/>
  <printOptions horizontalCentered="1" verticalCentered="1"/>
  <pageMargins left="0.78740157480314965" right="0.78740157480314965" top="0.98425196850393704" bottom="0.59055118110236227" header="0.51181102362204722" footer="0.51181102362204722"/>
  <pageSetup paperSize="8" scale="94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65041-351E-4561-9FFE-07827FA3BE79}">
  <sheetPr>
    <pageSetUpPr fitToPage="1"/>
  </sheetPr>
  <dimension ref="A1:S131"/>
  <sheetViews>
    <sheetView showZeros="0" topLeftCell="D112" zoomScale="112" zoomScaleNormal="112" workbookViewId="0">
      <selection activeCell="I143" sqref="I143"/>
    </sheetView>
  </sheetViews>
  <sheetFormatPr defaultColWidth="10.6640625" defaultRowHeight="12.75" x14ac:dyDescent="0.2"/>
  <cols>
    <col min="1" max="1" width="10.6640625" style="46" customWidth="1"/>
    <col min="2" max="2" width="13.1640625" style="46" customWidth="1"/>
    <col min="3" max="3" width="38" style="46" customWidth="1"/>
    <col min="4" max="4" width="3.83203125" style="46" customWidth="1"/>
    <col min="5" max="16" width="10" style="46" customWidth="1"/>
    <col min="17" max="17" width="10.6640625" style="46" customWidth="1"/>
    <col min="18" max="255" width="10.6640625" style="46"/>
    <col min="256" max="256" width="13.1640625" style="46" customWidth="1"/>
    <col min="257" max="257" width="79" style="46" customWidth="1"/>
    <col min="258" max="258" width="3.83203125" style="46" customWidth="1"/>
    <col min="259" max="271" width="12.5" style="46" customWidth="1"/>
    <col min="272" max="272" width="8.5" style="46" customWidth="1"/>
    <col min="273" max="511" width="10.6640625" style="46"/>
    <col min="512" max="512" width="13.1640625" style="46" customWidth="1"/>
    <col min="513" max="513" width="79" style="46" customWidth="1"/>
    <col min="514" max="514" width="3.83203125" style="46" customWidth="1"/>
    <col min="515" max="527" width="12.5" style="46" customWidth="1"/>
    <col min="528" max="528" width="8.5" style="46" customWidth="1"/>
    <col min="529" max="767" width="10.6640625" style="46"/>
    <col min="768" max="768" width="13.1640625" style="46" customWidth="1"/>
    <col min="769" max="769" width="79" style="46" customWidth="1"/>
    <col min="770" max="770" width="3.83203125" style="46" customWidth="1"/>
    <col min="771" max="783" width="12.5" style="46" customWidth="1"/>
    <col min="784" max="784" width="8.5" style="46" customWidth="1"/>
    <col min="785" max="1023" width="10.6640625" style="46"/>
    <col min="1024" max="1024" width="13.1640625" style="46" customWidth="1"/>
    <col min="1025" max="1025" width="79" style="46" customWidth="1"/>
    <col min="1026" max="1026" width="3.83203125" style="46" customWidth="1"/>
    <col min="1027" max="1039" width="12.5" style="46" customWidth="1"/>
    <col min="1040" max="1040" width="8.5" style="46" customWidth="1"/>
    <col min="1041" max="1279" width="10.6640625" style="46"/>
    <col min="1280" max="1280" width="13.1640625" style="46" customWidth="1"/>
    <col min="1281" max="1281" width="79" style="46" customWidth="1"/>
    <col min="1282" max="1282" width="3.83203125" style="46" customWidth="1"/>
    <col min="1283" max="1295" width="12.5" style="46" customWidth="1"/>
    <col min="1296" max="1296" width="8.5" style="46" customWidth="1"/>
    <col min="1297" max="1535" width="10.6640625" style="46"/>
    <col min="1536" max="1536" width="13.1640625" style="46" customWidth="1"/>
    <col min="1537" max="1537" width="79" style="46" customWidth="1"/>
    <col min="1538" max="1538" width="3.83203125" style="46" customWidth="1"/>
    <col min="1539" max="1551" width="12.5" style="46" customWidth="1"/>
    <col min="1552" max="1552" width="8.5" style="46" customWidth="1"/>
    <col min="1553" max="1791" width="10.6640625" style="46"/>
    <col min="1792" max="1792" width="13.1640625" style="46" customWidth="1"/>
    <col min="1793" max="1793" width="79" style="46" customWidth="1"/>
    <col min="1794" max="1794" width="3.83203125" style="46" customWidth="1"/>
    <col min="1795" max="1807" width="12.5" style="46" customWidth="1"/>
    <col min="1808" max="1808" width="8.5" style="46" customWidth="1"/>
    <col min="1809" max="2047" width="10.6640625" style="46"/>
    <col min="2048" max="2048" width="13.1640625" style="46" customWidth="1"/>
    <col min="2049" max="2049" width="79" style="46" customWidth="1"/>
    <col min="2050" max="2050" width="3.83203125" style="46" customWidth="1"/>
    <col min="2051" max="2063" width="12.5" style="46" customWidth="1"/>
    <col min="2064" max="2064" width="8.5" style="46" customWidth="1"/>
    <col min="2065" max="2303" width="10.6640625" style="46"/>
    <col min="2304" max="2304" width="13.1640625" style="46" customWidth="1"/>
    <col min="2305" max="2305" width="79" style="46" customWidth="1"/>
    <col min="2306" max="2306" width="3.83203125" style="46" customWidth="1"/>
    <col min="2307" max="2319" width="12.5" style="46" customWidth="1"/>
    <col min="2320" max="2320" width="8.5" style="46" customWidth="1"/>
    <col min="2321" max="2559" width="10.6640625" style="46"/>
    <col min="2560" max="2560" width="13.1640625" style="46" customWidth="1"/>
    <col min="2561" max="2561" width="79" style="46" customWidth="1"/>
    <col min="2562" max="2562" width="3.83203125" style="46" customWidth="1"/>
    <col min="2563" max="2575" width="12.5" style="46" customWidth="1"/>
    <col min="2576" max="2576" width="8.5" style="46" customWidth="1"/>
    <col min="2577" max="2815" width="10.6640625" style="46"/>
    <col min="2816" max="2816" width="13.1640625" style="46" customWidth="1"/>
    <col min="2817" max="2817" width="79" style="46" customWidth="1"/>
    <col min="2818" max="2818" width="3.83203125" style="46" customWidth="1"/>
    <col min="2819" max="2831" width="12.5" style="46" customWidth="1"/>
    <col min="2832" max="2832" width="8.5" style="46" customWidth="1"/>
    <col min="2833" max="3071" width="10.6640625" style="46"/>
    <col min="3072" max="3072" width="13.1640625" style="46" customWidth="1"/>
    <col min="3073" max="3073" width="79" style="46" customWidth="1"/>
    <col min="3074" max="3074" width="3.83203125" style="46" customWidth="1"/>
    <col min="3075" max="3087" width="12.5" style="46" customWidth="1"/>
    <col min="3088" max="3088" width="8.5" style="46" customWidth="1"/>
    <col min="3089" max="3327" width="10.6640625" style="46"/>
    <col min="3328" max="3328" width="13.1640625" style="46" customWidth="1"/>
    <col min="3329" max="3329" width="79" style="46" customWidth="1"/>
    <col min="3330" max="3330" width="3.83203125" style="46" customWidth="1"/>
    <col min="3331" max="3343" width="12.5" style="46" customWidth="1"/>
    <col min="3344" max="3344" width="8.5" style="46" customWidth="1"/>
    <col min="3345" max="3583" width="10.6640625" style="46"/>
    <col min="3584" max="3584" width="13.1640625" style="46" customWidth="1"/>
    <col min="3585" max="3585" width="79" style="46" customWidth="1"/>
    <col min="3586" max="3586" width="3.83203125" style="46" customWidth="1"/>
    <col min="3587" max="3599" width="12.5" style="46" customWidth="1"/>
    <col min="3600" max="3600" width="8.5" style="46" customWidth="1"/>
    <col min="3601" max="3839" width="10.6640625" style="46"/>
    <col min="3840" max="3840" width="13.1640625" style="46" customWidth="1"/>
    <col min="3841" max="3841" width="79" style="46" customWidth="1"/>
    <col min="3842" max="3842" width="3.83203125" style="46" customWidth="1"/>
    <col min="3843" max="3855" width="12.5" style="46" customWidth="1"/>
    <col min="3856" max="3856" width="8.5" style="46" customWidth="1"/>
    <col min="3857" max="4095" width="10.6640625" style="46"/>
    <col min="4096" max="4096" width="13.1640625" style="46" customWidth="1"/>
    <col min="4097" max="4097" width="79" style="46" customWidth="1"/>
    <col min="4098" max="4098" width="3.83203125" style="46" customWidth="1"/>
    <col min="4099" max="4111" width="12.5" style="46" customWidth="1"/>
    <col min="4112" max="4112" width="8.5" style="46" customWidth="1"/>
    <col min="4113" max="4351" width="10.6640625" style="46"/>
    <col min="4352" max="4352" width="13.1640625" style="46" customWidth="1"/>
    <col min="4353" max="4353" width="79" style="46" customWidth="1"/>
    <col min="4354" max="4354" width="3.83203125" style="46" customWidth="1"/>
    <col min="4355" max="4367" width="12.5" style="46" customWidth="1"/>
    <col min="4368" max="4368" width="8.5" style="46" customWidth="1"/>
    <col min="4369" max="4607" width="10.6640625" style="46"/>
    <col min="4608" max="4608" width="13.1640625" style="46" customWidth="1"/>
    <col min="4609" max="4609" width="79" style="46" customWidth="1"/>
    <col min="4610" max="4610" width="3.83203125" style="46" customWidth="1"/>
    <col min="4611" max="4623" width="12.5" style="46" customWidth="1"/>
    <col min="4624" max="4624" width="8.5" style="46" customWidth="1"/>
    <col min="4625" max="4863" width="10.6640625" style="46"/>
    <col min="4864" max="4864" width="13.1640625" style="46" customWidth="1"/>
    <col min="4865" max="4865" width="79" style="46" customWidth="1"/>
    <col min="4866" max="4866" width="3.83203125" style="46" customWidth="1"/>
    <col min="4867" max="4879" width="12.5" style="46" customWidth="1"/>
    <col min="4880" max="4880" width="8.5" style="46" customWidth="1"/>
    <col min="4881" max="5119" width="10.6640625" style="46"/>
    <col min="5120" max="5120" width="13.1640625" style="46" customWidth="1"/>
    <col min="5121" max="5121" width="79" style="46" customWidth="1"/>
    <col min="5122" max="5122" width="3.83203125" style="46" customWidth="1"/>
    <col min="5123" max="5135" width="12.5" style="46" customWidth="1"/>
    <col min="5136" max="5136" width="8.5" style="46" customWidth="1"/>
    <col min="5137" max="5375" width="10.6640625" style="46"/>
    <col min="5376" max="5376" width="13.1640625" style="46" customWidth="1"/>
    <col min="5377" max="5377" width="79" style="46" customWidth="1"/>
    <col min="5378" max="5378" width="3.83203125" style="46" customWidth="1"/>
    <col min="5379" max="5391" width="12.5" style="46" customWidth="1"/>
    <col min="5392" max="5392" width="8.5" style="46" customWidth="1"/>
    <col min="5393" max="5631" width="10.6640625" style="46"/>
    <col min="5632" max="5632" width="13.1640625" style="46" customWidth="1"/>
    <col min="5633" max="5633" width="79" style="46" customWidth="1"/>
    <col min="5634" max="5634" width="3.83203125" style="46" customWidth="1"/>
    <col min="5635" max="5647" width="12.5" style="46" customWidth="1"/>
    <col min="5648" max="5648" width="8.5" style="46" customWidth="1"/>
    <col min="5649" max="5887" width="10.6640625" style="46"/>
    <col min="5888" max="5888" width="13.1640625" style="46" customWidth="1"/>
    <col min="5889" max="5889" width="79" style="46" customWidth="1"/>
    <col min="5890" max="5890" width="3.83203125" style="46" customWidth="1"/>
    <col min="5891" max="5903" width="12.5" style="46" customWidth="1"/>
    <col min="5904" max="5904" width="8.5" style="46" customWidth="1"/>
    <col min="5905" max="6143" width="10.6640625" style="46"/>
    <col min="6144" max="6144" width="13.1640625" style="46" customWidth="1"/>
    <col min="6145" max="6145" width="79" style="46" customWidth="1"/>
    <col min="6146" max="6146" width="3.83203125" style="46" customWidth="1"/>
    <col min="6147" max="6159" width="12.5" style="46" customWidth="1"/>
    <col min="6160" max="6160" width="8.5" style="46" customWidth="1"/>
    <col min="6161" max="6399" width="10.6640625" style="46"/>
    <col min="6400" max="6400" width="13.1640625" style="46" customWidth="1"/>
    <col min="6401" max="6401" width="79" style="46" customWidth="1"/>
    <col min="6402" max="6402" width="3.83203125" style="46" customWidth="1"/>
    <col min="6403" max="6415" width="12.5" style="46" customWidth="1"/>
    <col min="6416" max="6416" width="8.5" style="46" customWidth="1"/>
    <col min="6417" max="6655" width="10.6640625" style="46"/>
    <col min="6656" max="6656" width="13.1640625" style="46" customWidth="1"/>
    <col min="6657" max="6657" width="79" style="46" customWidth="1"/>
    <col min="6658" max="6658" width="3.83203125" style="46" customWidth="1"/>
    <col min="6659" max="6671" width="12.5" style="46" customWidth="1"/>
    <col min="6672" max="6672" width="8.5" style="46" customWidth="1"/>
    <col min="6673" max="6911" width="10.6640625" style="46"/>
    <col min="6912" max="6912" width="13.1640625" style="46" customWidth="1"/>
    <col min="6913" max="6913" width="79" style="46" customWidth="1"/>
    <col min="6914" max="6914" width="3.83203125" style="46" customWidth="1"/>
    <col min="6915" max="6927" width="12.5" style="46" customWidth="1"/>
    <col min="6928" max="6928" width="8.5" style="46" customWidth="1"/>
    <col min="6929" max="7167" width="10.6640625" style="46"/>
    <col min="7168" max="7168" width="13.1640625" style="46" customWidth="1"/>
    <col min="7169" max="7169" width="79" style="46" customWidth="1"/>
    <col min="7170" max="7170" width="3.83203125" style="46" customWidth="1"/>
    <col min="7171" max="7183" width="12.5" style="46" customWidth="1"/>
    <col min="7184" max="7184" width="8.5" style="46" customWidth="1"/>
    <col min="7185" max="7423" width="10.6640625" style="46"/>
    <col min="7424" max="7424" width="13.1640625" style="46" customWidth="1"/>
    <col min="7425" max="7425" width="79" style="46" customWidth="1"/>
    <col min="7426" max="7426" width="3.83203125" style="46" customWidth="1"/>
    <col min="7427" max="7439" width="12.5" style="46" customWidth="1"/>
    <col min="7440" max="7440" width="8.5" style="46" customWidth="1"/>
    <col min="7441" max="7679" width="10.6640625" style="46"/>
    <col min="7680" max="7680" width="13.1640625" style="46" customWidth="1"/>
    <col min="7681" max="7681" width="79" style="46" customWidth="1"/>
    <col min="7682" max="7682" width="3.83203125" style="46" customWidth="1"/>
    <col min="7683" max="7695" width="12.5" style="46" customWidth="1"/>
    <col min="7696" max="7696" width="8.5" style="46" customWidth="1"/>
    <col min="7697" max="7935" width="10.6640625" style="46"/>
    <col min="7936" max="7936" width="13.1640625" style="46" customWidth="1"/>
    <col min="7937" max="7937" width="79" style="46" customWidth="1"/>
    <col min="7938" max="7938" width="3.83203125" style="46" customWidth="1"/>
    <col min="7939" max="7951" width="12.5" style="46" customWidth="1"/>
    <col min="7952" max="7952" width="8.5" style="46" customWidth="1"/>
    <col min="7953" max="8191" width="10.6640625" style="46"/>
    <col min="8192" max="8192" width="13.1640625" style="46" customWidth="1"/>
    <col min="8193" max="8193" width="79" style="46" customWidth="1"/>
    <col min="8194" max="8194" width="3.83203125" style="46" customWidth="1"/>
    <col min="8195" max="8207" width="12.5" style="46" customWidth="1"/>
    <col min="8208" max="8208" width="8.5" style="46" customWidth="1"/>
    <col min="8209" max="8447" width="10.6640625" style="46"/>
    <col min="8448" max="8448" width="13.1640625" style="46" customWidth="1"/>
    <col min="8449" max="8449" width="79" style="46" customWidth="1"/>
    <col min="8450" max="8450" width="3.83203125" style="46" customWidth="1"/>
    <col min="8451" max="8463" width="12.5" style="46" customWidth="1"/>
    <col min="8464" max="8464" width="8.5" style="46" customWidth="1"/>
    <col min="8465" max="8703" width="10.6640625" style="46"/>
    <col min="8704" max="8704" width="13.1640625" style="46" customWidth="1"/>
    <col min="8705" max="8705" width="79" style="46" customWidth="1"/>
    <col min="8706" max="8706" width="3.83203125" style="46" customWidth="1"/>
    <col min="8707" max="8719" width="12.5" style="46" customWidth="1"/>
    <col min="8720" max="8720" width="8.5" style="46" customWidth="1"/>
    <col min="8721" max="8959" width="10.6640625" style="46"/>
    <col min="8960" max="8960" width="13.1640625" style="46" customWidth="1"/>
    <col min="8961" max="8961" width="79" style="46" customWidth="1"/>
    <col min="8962" max="8962" width="3.83203125" style="46" customWidth="1"/>
    <col min="8963" max="8975" width="12.5" style="46" customWidth="1"/>
    <col min="8976" max="8976" width="8.5" style="46" customWidth="1"/>
    <col min="8977" max="9215" width="10.6640625" style="46"/>
    <col min="9216" max="9216" width="13.1640625" style="46" customWidth="1"/>
    <col min="9217" max="9217" width="79" style="46" customWidth="1"/>
    <col min="9218" max="9218" width="3.83203125" style="46" customWidth="1"/>
    <col min="9219" max="9231" width="12.5" style="46" customWidth="1"/>
    <col min="9232" max="9232" width="8.5" style="46" customWidth="1"/>
    <col min="9233" max="9471" width="10.6640625" style="46"/>
    <col min="9472" max="9472" width="13.1640625" style="46" customWidth="1"/>
    <col min="9473" max="9473" width="79" style="46" customWidth="1"/>
    <col min="9474" max="9474" width="3.83203125" style="46" customWidth="1"/>
    <col min="9475" max="9487" width="12.5" style="46" customWidth="1"/>
    <col min="9488" max="9488" width="8.5" style="46" customWidth="1"/>
    <col min="9489" max="9727" width="10.6640625" style="46"/>
    <col min="9728" max="9728" width="13.1640625" style="46" customWidth="1"/>
    <col min="9729" max="9729" width="79" style="46" customWidth="1"/>
    <col min="9730" max="9730" width="3.83203125" style="46" customWidth="1"/>
    <col min="9731" max="9743" width="12.5" style="46" customWidth="1"/>
    <col min="9744" max="9744" width="8.5" style="46" customWidth="1"/>
    <col min="9745" max="9983" width="10.6640625" style="46"/>
    <col min="9984" max="9984" width="13.1640625" style="46" customWidth="1"/>
    <col min="9985" max="9985" width="79" style="46" customWidth="1"/>
    <col min="9986" max="9986" width="3.83203125" style="46" customWidth="1"/>
    <col min="9987" max="9999" width="12.5" style="46" customWidth="1"/>
    <col min="10000" max="10000" width="8.5" style="46" customWidth="1"/>
    <col min="10001" max="10239" width="10.6640625" style="46"/>
    <col min="10240" max="10240" width="13.1640625" style="46" customWidth="1"/>
    <col min="10241" max="10241" width="79" style="46" customWidth="1"/>
    <col min="10242" max="10242" width="3.83203125" style="46" customWidth="1"/>
    <col min="10243" max="10255" width="12.5" style="46" customWidth="1"/>
    <col min="10256" max="10256" width="8.5" style="46" customWidth="1"/>
    <col min="10257" max="10495" width="10.6640625" style="46"/>
    <col min="10496" max="10496" width="13.1640625" style="46" customWidth="1"/>
    <col min="10497" max="10497" width="79" style="46" customWidth="1"/>
    <col min="10498" max="10498" width="3.83203125" style="46" customWidth="1"/>
    <col min="10499" max="10511" width="12.5" style="46" customWidth="1"/>
    <col min="10512" max="10512" width="8.5" style="46" customWidth="1"/>
    <col min="10513" max="10751" width="10.6640625" style="46"/>
    <col min="10752" max="10752" width="13.1640625" style="46" customWidth="1"/>
    <col min="10753" max="10753" width="79" style="46" customWidth="1"/>
    <col min="10754" max="10754" width="3.83203125" style="46" customWidth="1"/>
    <col min="10755" max="10767" width="12.5" style="46" customWidth="1"/>
    <col min="10768" max="10768" width="8.5" style="46" customWidth="1"/>
    <col min="10769" max="11007" width="10.6640625" style="46"/>
    <col min="11008" max="11008" width="13.1640625" style="46" customWidth="1"/>
    <col min="11009" max="11009" width="79" style="46" customWidth="1"/>
    <col min="11010" max="11010" width="3.83203125" style="46" customWidth="1"/>
    <col min="11011" max="11023" width="12.5" style="46" customWidth="1"/>
    <col min="11024" max="11024" width="8.5" style="46" customWidth="1"/>
    <col min="11025" max="11263" width="10.6640625" style="46"/>
    <col min="11264" max="11264" width="13.1640625" style="46" customWidth="1"/>
    <col min="11265" max="11265" width="79" style="46" customWidth="1"/>
    <col min="11266" max="11266" width="3.83203125" style="46" customWidth="1"/>
    <col min="11267" max="11279" width="12.5" style="46" customWidth="1"/>
    <col min="11280" max="11280" width="8.5" style="46" customWidth="1"/>
    <col min="11281" max="11519" width="10.6640625" style="46"/>
    <col min="11520" max="11520" width="13.1640625" style="46" customWidth="1"/>
    <col min="11521" max="11521" width="79" style="46" customWidth="1"/>
    <col min="11522" max="11522" width="3.83203125" style="46" customWidth="1"/>
    <col min="11523" max="11535" width="12.5" style="46" customWidth="1"/>
    <col min="11536" max="11536" width="8.5" style="46" customWidth="1"/>
    <col min="11537" max="11775" width="10.6640625" style="46"/>
    <col min="11776" max="11776" width="13.1640625" style="46" customWidth="1"/>
    <col min="11777" max="11777" width="79" style="46" customWidth="1"/>
    <col min="11778" max="11778" width="3.83203125" style="46" customWidth="1"/>
    <col min="11779" max="11791" width="12.5" style="46" customWidth="1"/>
    <col min="11792" max="11792" width="8.5" style="46" customWidth="1"/>
    <col min="11793" max="12031" width="10.6640625" style="46"/>
    <col min="12032" max="12032" width="13.1640625" style="46" customWidth="1"/>
    <col min="12033" max="12033" width="79" style="46" customWidth="1"/>
    <col min="12034" max="12034" width="3.83203125" style="46" customWidth="1"/>
    <col min="12035" max="12047" width="12.5" style="46" customWidth="1"/>
    <col min="12048" max="12048" width="8.5" style="46" customWidth="1"/>
    <col min="12049" max="12287" width="10.6640625" style="46"/>
    <col min="12288" max="12288" width="13.1640625" style="46" customWidth="1"/>
    <col min="12289" max="12289" width="79" style="46" customWidth="1"/>
    <col min="12290" max="12290" width="3.83203125" style="46" customWidth="1"/>
    <col min="12291" max="12303" width="12.5" style="46" customWidth="1"/>
    <col min="12304" max="12304" width="8.5" style="46" customWidth="1"/>
    <col min="12305" max="12543" width="10.6640625" style="46"/>
    <col min="12544" max="12544" width="13.1640625" style="46" customWidth="1"/>
    <col min="12545" max="12545" width="79" style="46" customWidth="1"/>
    <col min="12546" max="12546" width="3.83203125" style="46" customWidth="1"/>
    <col min="12547" max="12559" width="12.5" style="46" customWidth="1"/>
    <col min="12560" max="12560" width="8.5" style="46" customWidth="1"/>
    <col min="12561" max="12799" width="10.6640625" style="46"/>
    <col min="12800" max="12800" width="13.1640625" style="46" customWidth="1"/>
    <col min="12801" max="12801" width="79" style="46" customWidth="1"/>
    <col min="12802" max="12802" width="3.83203125" style="46" customWidth="1"/>
    <col min="12803" max="12815" width="12.5" style="46" customWidth="1"/>
    <col min="12816" max="12816" width="8.5" style="46" customWidth="1"/>
    <col min="12817" max="13055" width="10.6640625" style="46"/>
    <col min="13056" max="13056" width="13.1640625" style="46" customWidth="1"/>
    <col min="13057" max="13057" width="79" style="46" customWidth="1"/>
    <col min="13058" max="13058" width="3.83203125" style="46" customWidth="1"/>
    <col min="13059" max="13071" width="12.5" style="46" customWidth="1"/>
    <col min="13072" max="13072" width="8.5" style="46" customWidth="1"/>
    <col min="13073" max="13311" width="10.6640625" style="46"/>
    <col min="13312" max="13312" width="13.1640625" style="46" customWidth="1"/>
    <col min="13313" max="13313" width="79" style="46" customWidth="1"/>
    <col min="13314" max="13314" width="3.83203125" style="46" customWidth="1"/>
    <col min="13315" max="13327" width="12.5" style="46" customWidth="1"/>
    <col min="13328" max="13328" width="8.5" style="46" customWidth="1"/>
    <col min="13329" max="13567" width="10.6640625" style="46"/>
    <col min="13568" max="13568" width="13.1640625" style="46" customWidth="1"/>
    <col min="13569" max="13569" width="79" style="46" customWidth="1"/>
    <col min="13570" max="13570" width="3.83203125" style="46" customWidth="1"/>
    <col min="13571" max="13583" width="12.5" style="46" customWidth="1"/>
    <col min="13584" max="13584" width="8.5" style="46" customWidth="1"/>
    <col min="13585" max="13823" width="10.6640625" style="46"/>
    <col min="13824" max="13824" width="13.1640625" style="46" customWidth="1"/>
    <col min="13825" max="13825" width="79" style="46" customWidth="1"/>
    <col min="13826" max="13826" width="3.83203125" style="46" customWidth="1"/>
    <col min="13827" max="13839" width="12.5" style="46" customWidth="1"/>
    <col min="13840" max="13840" width="8.5" style="46" customWidth="1"/>
    <col min="13841" max="14079" width="10.6640625" style="46"/>
    <col min="14080" max="14080" width="13.1640625" style="46" customWidth="1"/>
    <col min="14081" max="14081" width="79" style="46" customWidth="1"/>
    <col min="14082" max="14082" width="3.83203125" style="46" customWidth="1"/>
    <col min="14083" max="14095" width="12.5" style="46" customWidth="1"/>
    <col min="14096" max="14096" width="8.5" style="46" customWidth="1"/>
    <col min="14097" max="14335" width="10.6640625" style="46"/>
    <col min="14336" max="14336" width="13.1640625" style="46" customWidth="1"/>
    <col min="14337" max="14337" width="79" style="46" customWidth="1"/>
    <col min="14338" max="14338" width="3.83203125" style="46" customWidth="1"/>
    <col min="14339" max="14351" width="12.5" style="46" customWidth="1"/>
    <col min="14352" max="14352" width="8.5" style="46" customWidth="1"/>
    <col min="14353" max="14591" width="10.6640625" style="46"/>
    <col min="14592" max="14592" width="13.1640625" style="46" customWidth="1"/>
    <col min="14593" max="14593" width="79" style="46" customWidth="1"/>
    <col min="14594" max="14594" width="3.83203125" style="46" customWidth="1"/>
    <col min="14595" max="14607" width="12.5" style="46" customWidth="1"/>
    <col min="14608" max="14608" width="8.5" style="46" customWidth="1"/>
    <col min="14609" max="14847" width="10.6640625" style="46"/>
    <col min="14848" max="14848" width="13.1640625" style="46" customWidth="1"/>
    <col min="14849" max="14849" width="79" style="46" customWidth="1"/>
    <col min="14850" max="14850" width="3.83203125" style="46" customWidth="1"/>
    <col min="14851" max="14863" width="12.5" style="46" customWidth="1"/>
    <col min="14864" max="14864" width="8.5" style="46" customWidth="1"/>
    <col min="14865" max="15103" width="10.6640625" style="46"/>
    <col min="15104" max="15104" width="13.1640625" style="46" customWidth="1"/>
    <col min="15105" max="15105" width="79" style="46" customWidth="1"/>
    <col min="15106" max="15106" width="3.83203125" style="46" customWidth="1"/>
    <col min="15107" max="15119" width="12.5" style="46" customWidth="1"/>
    <col min="15120" max="15120" width="8.5" style="46" customWidth="1"/>
    <col min="15121" max="15359" width="10.6640625" style="46"/>
    <col min="15360" max="15360" width="13.1640625" style="46" customWidth="1"/>
    <col min="15361" max="15361" width="79" style="46" customWidth="1"/>
    <col min="15362" max="15362" width="3.83203125" style="46" customWidth="1"/>
    <col min="15363" max="15375" width="12.5" style="46" customWidth="1"/>
    <col min="15376" max="15376" width="8.5" style="46" customWidth="1"/>
    <col min="15377" max="15615" width="10.6640625" style="46"/>
    <col min="15616" max="15616" width="13.1640625" style="46" customWidth="1"/>
    <col min="15617" max="15617" width="79" style="46" customWidth="1"/>
    <col min="15618" max="15618" width="3.83203125" style="46" customWidth="1"/>
    <col min="15619" max="15631" width="12.5" style="46" customWidth="1"/>
    <col min="15632" max="15632" width="8.5" style="46" customWidth="1"/>
    <col min="15633" max="15871" width="10.6640625" style="46"/>
    <col min="15872" max="15872" width="13.1640625" style="46" customWidth="1"/>
    <col min="15873" max="15873" width="79" style="46" customWidth="1"/>
    <col min="15874" max="15874" width="3.83203125" style="46" customWidth="1"/>
    <col min="15875" max="15887" width="12.5" style="46" customWidth="1"/>
    <col min="15888" max="15888" width="8.5" style="46" customWidth="1"/>
    <col min="15889" max="16127" width="10.6640625" style="46"/>
    <col min="16128" max="16128" width="13.1640625" style="46" customWidth="1"/>
    <col min="16129" max="16129" width="79" style="46" customWidth="1"/>
    <col min="16130" max="16130" width="3.83203125" style="46" customWidth="1"/>
    <col min="16131" max="16143" width="12.5" style="46" customWidth="1"/>
    <col min="16144" max="16144" width="8.5" style="46" customWidth="1"/>
    <col min="16145" max="16384" width="10.6640625" style="46"/>
  </cols>
  <sheetData>
    <row r="1" spans="1:19" ht="13.5" thickBot="1" x14ac:dyDescent="0.25">
      <c r="A1" s="246" t="s">
        <v>35</v>
      </c>
      <c r="B1" s="247">
        <v>3</v>
      </c>
      <c r="C1" s="248"/>
      <c r="D1" s="249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pans="1:19" ht="13.5" thickTop="1" x14ac:dyDescent="0.2">
      <c r="A2" s="251" t="str">
        <f>CONCATENATE($B$1,"|",B2)</f>
        <v>3|1</v>
      </c>
      <c r="B2" s="252">
        <v>1</v>
      </c>
      <c r="C2" s="253" t="s">
        <v>154</v>
      </c>
      <c r="D2" s="254">
        <v>1</v>
      </c>
      <c r="E2" s="255">
        <v>50</v>
      </c>
      <c r="F2" s="255">
        <v>50</v>
      </c>
      <c r="G2" s="255"/>
      <c r="H2" s="255"/>
      <c r="I2" s="255"/>
      <c r="J2" s="256"/>
      <c r="K2" s="256"/>
      <c r="L2" s="256"/>
      <c r="M2" s="256"/>
      <c r="N2" s="256"/>
      <c r="O2" s="256"/>
      <c r="P2" s="256"/>
      <c r="S2" s="46">
        <f>SUM(E2:P2)</f>
        <v>100</v>
      </c>
    </row>
    <row r="3" spans="1:19" x14ac:dyDescent="0.2">
      <c r="A3" s="257" t="str">
        <f t="shared" ref="A3:A12" si="0">CONCATENATE($B$1,"|",B3)</f>
        <v>3|2</v>
      </c>
      <c r="B3" s="258" t="s">
        <v>91</v>
      </c>
      <c r="C3" s="253" t="s">
        <v>150</v>
      </c>
      <c r="D3" s="254">
        <v>2</v>
      </c>
      <c r="E3" s="255">
        <v>50</v>
      </c>
      <c r="F3" s="255">
        <v>50</v>
      </c>
      <c r="G3" s="255"/>
      <c r="H3" s="255"/>
      <c r="I3" s="255"/>
      <c r="J3" s="259"/>
      <c r="K3" s="259"/>
      <c r="L3" s="259"/>
      <c r="M3" s="259"/>
      <c r="N3" s="259"/>
      <c r="O3" s="259"/>
      <c r="P3" s="259"/>
      <c r="S3" s="46">
        <f t="shared" ref="S3:S12" si="1">SUM(E3:P3)</f>
        <v>100</v>
      </c>
    </row>
    <row r="4" spans="1:19" x14ac:dyDescent="0.2">
      <c r="A4" s="257" t="str">
        <f t="shared" si="0"/>
        <v>3|3</v>
      </c>
      <c r="B4" s="258" t="s">
        <v>94</v>
      </c>
      <c r="C4" s="253" t="s">
        <v>155</v>
      </c>
      <c r="D4" s="254">
        <v>3</v>
      </c>
      <c r="E4" s="260">
        <v>25</v>
      </c>
      <c r="F4" s="260">
        <v>60</v>
      </c>
      <c r="G4" s="260">
        <v>15</v>
      </c>
      <c r="H4" s="260"/>
      <c r="I4" s="260"/>
      <c r="J4" s="259"/>
      <c r="K4" s="259"/>
      <c r="L4" s="259"/>
      <c r="M4" s="259"/>
      <c r="N4" s="259"/>
      <c r="O4" s="259"/>
      <c r="P4" s="259"/>
      <c r="S4" s="46">
        <f t="shared" si="1"/>
        <v>100</v>
      </c>
    </row>
    <row r="5" spans="1:19" x14ac:dyDescent="0.2">
      <c r="A5" s="257" t="str">
        <f t="shared" si="0"/>
        <v>3|4</v>
      </c>
      <c r="B5" s="258" t="s">
        <v>95</v>
      </c>
      <c r="C5" s="253" t="s">
        <v>151</v>
      </c>
      <c r="D5" s="254">
        <v>4</v>
      </c>
      <c r="E5" s="260"/>
      <c r="F5" s="260">
        <v>50</v>
      </c>
      <c r="G5" s="260">
        <v>50</v>
      </c>
      <c r="H5" s="260"/>
      <c r="I5" s="260"/>
      <c r="J5" s="259"/>
      <c r="K5" s="259"/>
      <c r="L5" s="259"/>
      <c r="M5" s="259"/>
      <c r="N5" s="259"/>
      <c r="O5" s="259"/>
      <c r="P5" s="259"/>
      <c r="S5" s="46">
        <f t="shared" si="1"/>
        <v>100</v>
      </c>
    </row>
    <row r="6" spans="1:19" x14ac:dyDescent="0.2">
      <c r="A6" s="257" t="str">
        <f t="shared" si="0"/>
        <v>3|5</v>
      </c>
      <c r="B6" s="258" t="s">
        <v>90</v>
      </c>
      <c r="C6" s="253" t="s">
        <v>152</v>
      </c>
      <c r="D6" s="254">
        <v>5</v>
      </c>
      <c r="E6" s="260">
        <v>20</v>
      </c>
      <c r="F6" s="260">
        <v>50</v>
      </c>
      <c r="G6" s="260">
        <v>30</v>
      </c>
      <c r="H6" s="260"/>
      <c r="I6" s="260"/>
      <c r="J6" s="259"/>
      <c r="K6" s="259"/>
      <c r="L6" s="259"/>
      <c r="M6" s="259"/>
      <c r="N6" s="259"/>
      <c r="O6" s="259"/>
      <c r="P6" s="259"/>
      <c r="S6" s="46">
        <f t="shared" si="1"/>
        <v>100</v>
      </c>
    </row>
    <row r="7" spans="1:19" x14ac:dyDescent="0.2">
      <c r="A7" s="257" t="str">
        <f t="shared" si="0"/>
        <v>3|6</v>
      </c>
      <c r="B7" s="258" t="s">
        <v>96</v>
      </c>
      <c r="C7" s="253" t="s">
        <v>298</v>
      </c>
      <c r="D7" s="254">
        <v>3</v>
      </c>
      <c r="E7" s="260"/>
      <c r="F7" s="260">
        <v>50</v>
      </c>
      <c r="G7" s="260">
        <v>50</v>
      </c>
      <c r="H7" s="260"/>
      <c r="I7" s="260"/>
      <c r="J7" s="259"/>
      <c r="K7" s="259"/>
      <c r="L7" s="259"/>
      <c r="M7" s="259"/>
      <c r="N7" s="259"/>
      <c r="O7" s="259"/>
      <c r="P7" s="259"/>
      <c r="S7" s="46">
        <f t="shared" si="1"/>
        <v>100</v>
      </c>
    </row>
    <row r="8" spans="1:19" x14ac:dyDescent="0.2">
      <c r="A8" s="257" t="str">
        <f t="shared" si="0"/>
        <v>3|7</v>
      </c>
      <c r="B8" s="258" t="s">
        <v>149</v>
      </c>
      <c r="C8" s="253" t="s">
        <v>156</v>
      </c>
      <c r="D8" s="254">
        <v>5</v>
      </c>
      <c r="E8" s="260"/>
      <c r="F8" s="260">
        <v>20</v>
      </c>
      <c r="G8" s="260">
        <v>80</v>
      </c>
      <c r="H8" s="260"/>
      <c r="I8" s="260"/>
      <c r="J8" s="259"/>
      <c r="K8" s="259"/>
      <c r="L8" s="259"/>
      <c r="M8" s="259"/>
      <c r="N8" s="259"/>
      <c r="O8" s="259"/>
      <c r="P8" s="259"/>
      <c r="S8" s="46">
        <f t="shared" si="1"/>
        <v>100</v>
      </c>
    </row>
    <row r="9" spans="1:19" x14ac:dyDescent="0.2">
      <c r="A9" s="257" t="str">
        <f t="shared" si="0"/>
        <v>3|8</v>
      </c>
      <c r="B9" s="258" t="s">
        <v>108</v>
      </c>
      <c r="C9" s="253" t="s">
        <v>157</v>
      </c>
      <c r="D9" s="254">
        <v>6</v>
      </c>
      <c r="E9" s="260"/>
      <c r="F9" s="260">
        <v>50</v>
      </c>
      <c r="G9" s="260">
        <v>50</v>
      </c>
      <c r="H9" s="260"/>
      <c r="I9" s="260"/>
      <c r="J9" s="259"/>
      <c r="K9" s="259"/>
      <c r="L9" s="259"/>
      <c r="M9" s="259"/>
      <c r="N9" s="259"/>
      <c r="O9" s="259"/>
      <c r="P9" s="259"/>
      <c r="S9" s="46">
        <f t="shared" si="1"/>
        <v>100</v>
      </c>
    </row>
    <row r="10" spans="1:19" x14ac:dyDescent="0.2">
      <c r="A10" s="257" t="str">
        <f t="shared" si="0"/>
        <v>3|9</v>
      </c>
      <c r="B10" s="258" t="s">
        <v>158</v>
      </c>
      <c r="C10" s="253" t="s">
        <v>159</v>
      </c>
      <c r="D10" s="254">
        <v>6</v>
      </c>
      <c r="E10" s="260">
        <v>30</v>
      </c>
      <c r="F10" s="260">
        <v>40</v>
      </c>
      <c r="G10" s="260">
        <v>30</v>
      </c>
      <c r="H10" s="260"/>
      <c r="I10" s="260"/>
      <c r="J10" s="259"/>
      <c r="K10" s="259"/>
      <c r="L10" s="259"/>
      <c r="M10" s="259"/>
      <c r="N10" s="259"/>
      <c r="O10" s="259"/>
      <c r="P10" s="259"/>
      <c r="S10" s="46">
        <f t="shared" si="1"/>
        <v>100</v>
      </c>
    </row>
    <row r="11" spans="1:19" x14ac:dyDescent="0.2">
      <c r="A11" s="257" t="str">
        <f t="shared" si="0"/>
        <v>3|10</v>
      </c>
      <c r="B11" s="258" t="s">
        <v>160</v>
      </c>
      <c r="C11" s="253" t="s">
        <v>153</v>
      </c>
      <c r="D11" s="254"/>
      <c r="E11" s="260">
        <v>60</v>
      </c>
      <c r="F11" s="260">
        <v>40</v>
      </c>
      <c r="G11" s="260"/>
      <c r="H11" s="260"/>
      <c r="I11" s="260"/>
      <c r="J11" s="259"/>
      <c r="K11" s="259"/>
      <c r="L11" s="259"/>
      <c r="M11" s="259"/>
      <c r="N11" s="259"/>
      <c r="O11" s="259"/>
      <c r="P11" s="259"/>
      <c r="S11" s="46">
        <f t="shared" si="1"/>
        <v>100</v>
      </c>
    </row>
    <row r="12" spans="1:19" x14ac:dyDescent="0.2">
      <c r="A12" s="257" t="str">
        <f t="shared" si="0"/>
        <v>3|11</v>
      </c>
      <c r="B12" s="258" t="s">
        <v>164</v>
      </c>
      <c r="C12" s="253" t="s">
        <v>169</v>
      </c>
      <c r="D12" s="254"/>
      <c r="E12" s="260">
        <v>15</v>
      </c>
      <c r="F12" s="260">
        <v>60</v>
      </c>
      <c r="G12" s="260">
        <v>25</v>
      </c>
      <c r="H12" s="260"/>
      <c r="I12" s="260"/>
      <c r="J12" s="259"/>
      <c r="K12" s="259"/>
      <c r="L12" s="259"/>
      <c r="M12" s="259"/>
      <c r="N12" s="259"/>
      <c r="O12" s="259"/>
      <c r="P12" s="259"/>
      <c r="S12" s="46">
        <f t="shared" si="1"/>
        <v>100</v>
      </c>
    </row>
    <row r="13" spans="1:19" ht="5.45" customHeight="1" x14ac:dyDescent="0.2"/>
    <row r="14" spans="1:19" ht="13.5" thickBot="1" x14ac:dyDescent="0.25">
      <c r="A14" s="261" t="s">
        <v>35</v>
      </c>
      <c r="B14" s="262">
        <v>4</v>
      </c>
      <c r="C14" s="263"/>
      <c r="D14" s="264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</row>
    <row r="15" spans="1:19" ht="13.5" thickTop="1" x14ac:dyDescent="0.2">
      <c r="A15" s="265" t="str">
        <f>CONCATENATE($B$14,"|",B15)</f>
        <v>4|1</v>
      </c>
      <c r="B15" s="252">
        <v>1</v>
      </c>
      <c r="C15" s="253" t="s">
        <v>154</v>
      </c>
      <c r="D15" s="254">
        <v>1</v>
      </c>
      <c r="E15" s="255">
        <v>45</v>
      </c>
      <c r="F15" s="255">
        <v>45</v>
      </c>
      <c r="G15" s="255">
        <v>10</v>
      </c>
      <c r="H15" s="255"/>
      <c r="I15" s="255"/>
      <c r="J15" s="256"/>
      <c r="K15" s="256"/>
      <c r="L15" s="256"/>
      <c r="M15" s="256"/>
      <c r="N15" s="256"/>
      <c r="O15" s="256"/>
      <c r="P15" s="256"/>
      <c r="S15" s="46">
        <f>SUM(E15:P15)</f>
        <v>100</v>
      </c>
    </row>
    <row r="16" spans="1:19" x14ac:dyDescent="0.2">
      <c r="A16" s="257" t="str">
        <f t="shared" ref="A16:A25" si="2">CONCATENATE($B$14,"|",B16)</f>
        <v>4|2</v>
      </c>
      <c r="B16" s="258" t="s">
        <v>91</v>
      </c>
      <c r="C16" s="253" t="s">
        <v>150</v>
      </c>
      <c r="D16" s="254">
        <v>2</v>
      </c>
      <c r="E16" s="255">
        <v>40</v>
      </c>
      <c r="F16" s="255">
        <v>40</v>
      </c>
      <c r="G16" s="255">
        <v>20</v>
      </c>
      <c r="H16" s="255"/>
      <c r="I16" s="255"/>
      <c r="J16" s="259"/>
      <c r="K16" s="259"/>
      <c r="L16" s="259"/>
      <c r="M16" s="259"/>
      <c r="N16" s="259"/>
      <c r="O16" s="259"/>
      <c r="P16" s="259"/>
      <c r="S16" s="46">
        <f t="shared" ref="S16:S25" si="3">SUM(E16:P16)</f>
        <v>100</v>
      </c>
    </row>
    <row r="17" spans="1:19" x14ac:dyDescent="0.2">
      <c r="A17" s="257" t="str">
        <f t="shared" si="2"/>
        <v>4|3</v>
      </c>
      <c r="B17" s="258" t="s">
        <v>94</v>
      </c>
      <c r="C17" s="253" t="s">
        <v>155</v>
      </c>
      <c r="D17" s="254">
        <v>3</v>
      </c>
      <c r="E17" s="260">
        <v>20</v>
      </c>
      <c r="F17" s="260">
        <v>35</v>
      </c>
      <c r="G17" s="260">
        <v>35</v>
      </c>
      <c r="H17" s="260">
        <v>10</v>
      </c>
      <c r="I17" s="260"/>
      <c r="J17" s="259"/>
      <c r="K17" s="259"/>
      <c r="L17" s="259"/>
      <c r="M17" s="259"/>
      <c r="N17" s="259"/>
      <c r="O17" s="259"/>
      <c r="P17" s="259"/>
      <c r="S17" s="46">
        <f t="shared" si="3"/>
        <v>100</v>
      </c>
    </row>
    <row r="18" spans="1:19" x14ac:dyDescent="0.2">
      <c r="A18" s="257" t="str">
        <f t="shared" si="2"/>
        <v>4|4</v>
      </c>
      <c r="B18" s="258" t="s">
        <v>95</v>
      </c>
      <c r="C18" s="253" t="s">
        <v>151</v>
      </c>
      <c r="D18" s="254">
        <v>4</v>
      </c>
      <c r="E18" s="260"/>
      <c r="F18" s="260">
        <v>35</v>
      </c>
      <c r="G18" s="260">
        <v>35</v>
      </c>
      <c r="H18" s="260">
        <v>30</v>
      </c>
      <c r="I18" s="260"/>
      <c r="J18" s="259"/>
      <c r="K18" s="259"/>
      <c r="L18" s="259"/>
      <c r="M18" s="259"/>
      <c r="N18" s="259"/>
      <c r="O18" s="259"/>
      <c r="P18" s="259"/>
      <c r="S18" s="46">
        <f t="shared" si="3"/>
        <v>100</v>
      </c>
    </row>
    <row r="19" spans="1:19" x14ac:dyDescent="0.2">
      <c r="A19" s="257" t="str">
        <f t="shared" si="2"/>
        <v>4|5</v>
      </c>
      <c r="B19" s="258" t="s">
        <v>90</v>
      </c>
      <c r="C19" s="253" t="s">
        <v>152</v>
      </c>
      <c r="D19" s="254">
        <v>5</v>
      </c>
      <c r="E19" s="260">
        <v>10</v>
      </c>
      <c r="F19" s="260">
        <v>35</v>
      </c>
      <c r="G19" s="260">
        <v>35</v>
      </c>
      <c r="H19" s="260">
        <v>20</v>
      </c>
      <c r="I19" s="260"/>
      <c r="J19" s="259"/>
      <c r="K19" s="259"/>
      <c r="L19" s="259"/>
      <c r="M19" s="259"/>
      <c r="N19" s="259"/>
      <c r="O19" s="259"/>
      <c r="P19" s="259"/>
      <c r="S19" s="46">
        <f t="shared" si="3"/>
        <v>100</v>
      </c>
    </row>
    <row r="20" spans="1:19" x14ac:dyDescent="0.2">
      <c r="A20" s="257" t="str">
        <f t="shared" si="2"/>
        <v>4|6</v>
      </c>
      <c r="B20" s="258" t="s">
        <v>96</v>
      </c>
      <c r="C20" s="253" t="s">
        <v>298</v>
      </c>
      <c r="D20" s="254">
        <v>3</v>
      </c>
      <c r="E20" s="260"/>
      <c r="F20" s="260">
        <v>35</v>
      </c>
      <c r="G20" s="260">
        <v>35</v>
      </c>
      <c r="H20" s="260">
        <v>30</v>
      </c>
      <c r="I20" s="260"/>
      <c r="J20" s="259"/>
      <c r="K20" s="259"/>
      <c r="L20" s="259"/>
      <c r="M20" s="259"/>
      <c r="N20" s="259"/>
      <c r="O20" s="259"/>
      <c r="P20" s="259"/>
      <c r="S20" s="46">
        <f t="shared" si="3"/>
        <v>100</v>
      </c>
    </row>
    <row r="21" spans="1:19" x14ac:dyDescent="0.2">
      <c r="A21" s="257" t="str">
        <f t="shared" si="2"/>
        <v>4|7</v>
      </c>
      <c r="B21" s="258" t="s">
        <v>149</v>
      </c>
      <c r="C21" s="253" t="s">
        <v>156</v>
      </c>
      <c r="D21" s="254">
        <v>5</v>
      </c>
      <c r="E21" s="260"/>
      <c r="F21" s="260">
        <v>15</v>
      </c>
      <c r="G21" s="260">
        <v>60</v>
      </c>
      <c r="H21" s="260">
        <v>25</v>
      </c>
      <c r="I21" s="260"/>
      <c r="J21" s="259"/>
      <c r="K21" s="259"/>
      <c r="L21" s="259"/>
      <c r="M21" s="259"/>
      <c r="N21" s="259"/>
      <c r="O21" s="259"/>
      <c r="P21" s="259"/>
      <c r="S21" s="46">
        <f t="shared" si="3"/>
        <v>100</v>
      </c>
    </row>
    <row r="22" spans="1:19" x14ac:dyDescent="0.2">
      <c r="A22" s="257" t="str">
        <f t="shared" si="2"/>
        <v>4|8</v>
      </c>
      <c r="B22" s="258" t="s">
        <v>108</v>
      </c>
      <c r="C22" s="253" t="s">
        <v>157</v>
      </c>
      <c r="D22" s="254">
        <v>6</v>
      </c>
      <c r="E22" s="260"/>
      <c r="F22" s="260">
        <v>30</v>
      </c>
      <c r="G22" s="260">
        <v>40</v>
      </c>
      <c r="H22" s="260">
        <v>30</v>
      </c>
      <c r="I22" s="260"/>
      <c r="J22" s="259"/>
      <c r="K22" s="259"/>
      <c r="L22" s="259"/>
      <c r="M22" s="259"/>
      <c r="N22" s="259"/>
      <c r="O22" s="259"/>
      <c r="P22" s="259"/>
      <c r="S22" s="46">
        <f t="shared" si="3"/>
        <v>100</v>
      </c>
    </row>
    <row r="23" spans="1:19" x14ac:dyDescent="0.2">
      <c r="A23" s="257" t="str">
        <f t="shared" si="2"/>
        <v>4|9</v>
      </c>
      <c r="B23" s="258" t="s">
        <v>158</v>
      </c>
      <c r="C23" s="253" t="s">
        <v>159</v>
      </c>
      <c r="D23" s="254">
        <v>6</v>
      </c>
      <c r="E23" s="260">
        <v>10</v>
      </c>
      <c r="F23" s="260">
        <v>35</v>
      </c>
      <c r="G23" s="260">
        <v>35</v>
      </c>
      <c r="H23" s="260">
        <v>20</v>
      </c>
      <c r="I23" s="260"/>
      <c r="J23" s="259"/>
      <c r="K23" s="259"/>
      <c r="L23" s="259"/>
      <c r="M23" s="259"/>
      <c r="N23" s="259"/>
      <c r="O23" s="259"/>
      <c r="P23" s="259"/>
      <c r="S23" s="46">
        <f t="shared" si="3"/>
        <v>100</v>
      </c>
    </row>
    <row r="24" spans="1:19" x14ac:dyDescent="0.2">
      <c r="A24" s="257" t="str">
        <f t="shared" si="2"/>
        <v>4|10</v>
      </c>
      <c r="B24" s="258" t="s">
        <v>160</v>
      </c>
      <c r="C24" s="253" t="s">
        <v>153</v>
      </c>
      <c r="D24" s="254"/>
      <c r="E24" s="260">
        <v>40</v>
      </c>
      <c r="F24" s="260">
        <v>40</v>
      </c>
      <c r="G24" s="260">
        <v>20</v>
      </c>
      <c r="H24" s="260"/>
      <c r="I24" s="260"/>
      <c r="J24" s="259"/>
      <c r="K24" s="259"/>
      <c r="L24" s="259"/>
      <c r="M24" s="259"/>
      <c r="N24" s="259"/>
      <c r="O24" s="259"/>
      <c r="P24" s="259"/>
      <c r="S24" s="46">
        <f t="shared" si="3"/>
        <v>100</v>
      </c>
    </row>
    <row r="25" spans="1:19" x14ac:dyDescent="0.2">
      <c r="A25" s="266" t="str">
        <f t="shared" si="2"/>
        <v>4|11</v>
      </c>
      <c r="B25" s="258" t="s">
        <v>164</v>
      </c>
      <c r="C25" s="253" t="s">
        <v>169</v>
      </c>
      <c r="D25" s="254"/>
      <c r="E25" s="260">
        <v>10</v>
      </c>
      <c r="F25" s="260">
        <v>35</v>
      </c>
      <c r="G25" s="260">
        <v>35</v>
      </c>
      <c r="H25" s="260">
        <v>20</v>
      </c>
      <c r="I25" s="260"/>
      <c r="J25" s="259"/>
      <c r="K25" s="259"/>
      <c r="L25" s="259"/>
      <c r="M25" s="259"/>
      <c r="N25" s="259"/>
      <c r="O25" s="259"/>
      <c r="P25" s="259"/>
      <c r="S25" s="46">
        <f t="shared" si="3"/>
        <v>100</v>
      </c>
    </row>
    <row r="26" spans="1:19" ht="5.45" customHeight="1" x14ac:dyDescent="0.2"/>
    <row r="27" spans="1:19" ht="13.5" thickBot="1" x14ac:dyDescent="0.25">
      <c r="A27" s="261" t="s">
        <v>35</v>
      </c>
      <c r="B27" s="262">
        <v>5</v>
      </c>
      <c r="C27" s="263"/>
      <c r="D27" s="264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</row>
    <row r="28" spans="1:19" ht="13.5" thickTop="1" x14ac:dyDescent="0.2">
      <c r="A28" s="265" t="str">
        <f>CONCATENATE($B$27,"|",B28)</f>
        <v>5|1</v>
      </c>
      <c r="B28" s="252">
        <v>1</v>
      </c>
      <c r="C28" s="253" t="s">
        <v>154</v>
      </c>
      <c r="D28" s="254">
        <v>1</v>
      </c>
      <c r="E28" s="255">
        <v>40</v>
      </c>
      <c r="F28" s="255">
        <v>30</v>
      </c>
      <c r="G28" s="255">
        <v>25</v>
      </c>
      <c r="H28" s="255">
        <v>5</v>
      </c>
      <c r="I28" s="255"/>
      <c r="J28" s="256"/>
      <c r="K28" s="256"/>
      <c r="L28" s="256"/>
      <c r="M28" s="256"/>
      <c r="N28" s="256"/>
      <c r="O28" s="256"/>
      <c r="P28" s="256"/>
      <c r="S28" s="46">
        <f>SUM(E28:P28)</f>
        <v>100</v>
      </c>
    </row>
    <row r="29" spans="1:19" x14ac:dyDescent="0.2">
      <c r="A29" s="257" t="str">
        <f t="shared" ref="A29:A38" si="4">CONCATENATE($B$27,"|",B29)</f>
        <v>5|2</v>
      </c>
      <c r="B29" s="258" t="s">
        <v>91</v>
      </c>
      <c r="C29" s="253" t="s">
        <v>150</v>
      </c>
      <c r="D29" s="254">
        <v>2</v>
      </c>
      <c r="E29" s="255">
        <v>30</v>
      </c>
      <c r="F29" s="255">
        <v>30</v>
      </c>
      <c r="G29" s="255">
        <v>30</v>
      </c>
      <c r="H29" s="255">
        <v>10</v>
      </c>
      <c r="I29" s="255"/>
      <c r="J29" s="259"/>
      <c r="K29" s="259"/>
      <c r="L29" s="259"/>
      <c r="M29" s="259"/>
      <c r="N29" s="259"/>
      <c r="O29" s="259"/>
      <c r="P29" s="259"/>
      <c r="S29" s="46">
        <f t="shared" ref="S29:S38" si="5">SUM(E29:P29)</f>
        <v>100</v>
      </c>
    </row>
    <row r="30" spans="1:19" x14ac:dyDescent="0.2">
      <c r="A30" s="257" t="str">
        <f t="shared" si="4"/>
        <v>5|3</v>
      </c>
      <c r="B30" s="258" t="s">
        <v>94</v>
      </c>
      <c r="C30" s="253" t="s">
        <v>155</v>
      </c>
      <c r="D30" s="254">
        <v>3</v>
      </c>
      <c r="E30" s="260">
        <v>10</v>
      </c>
      <c r="F30" s="260">
        <v>30</v>
      </c>
      <c r="G30" s="260">
        <v>30</v>
      </c>
      <c r="H30" s="260">
        <v>25</v>
      </c>
      <c r="I30" s="260">
        <v>5</v>
      </c>
      <c r="J30" s="259"/>
      <c r="K30" s="259"/>
      <c r="L30" s="259"/>
      <c r="M30" s="259"/>
      <c r="N30" s="259"/>
      <c r="O30" s="259"/>
      <c r="P30" s="259"/>
      <c r="S30" s="46">
        <f t="shared" si="5"/>
        <v>100</v>
      </c>
    </row>
    <row r="31" spans="1:19" x14ac:dyDescent="0.2">
      <c r="A31" s="257" t="str">
        <f t="shared" si="4"/>
        <v>5|4</v>
      </c>
      <c r="B31" s="258" t="s">
        <v>95</v>
      </c>
      <c r="C31" s="253" t="s">
        <v>151</v>
      </c>
      <c r="D31" s="254">
        <v>4</v>
      </c>
      <c r="E31" s="260"/>
      <c r="F31" s="260">
        <v>15</v>
      </c>
      <c r="G31" s="260">
        <v>30</v>
      </c>
      <c r="H31" s="260">
        <v>30</v>
      </c>
      <c r="I31" s="260">
        <v>25</v>
      </c>
      <c r="J31" s="259"/>
      <c r="K31" s="259"/>
      <c r="L31" s="259"/>
      <c r="M31" s="259"/>
      <c r="N31" s="259"/>
      <c r="O31" s="259"/>
      <c r="P31" s="259"/>
      <c r="S31" s="46">
        <f t="shared" si="5"/>
        <v>100</v>
      </c>
    </row>
    <row r="32" spans="1:19" x14ac:dyDescent="0.2">
      <c r="A32" s="257" t="str">
        <f t="shared" si="4"/>
        <v>5|5</v>
      </c>
      <c r="B32" s="258" t="s">
        <v>90</v>
      </c>
      <c r="C32" s="253" t="s">
        <v>152</v>
      </c>
      <c r="D32" s="254">
        <v>5</v>
      </c>
      <c r="E32" s="260"/>
      <c r="F32" s="260">
        <v>25</v>
      </c>
      <c r="G32" s="260">
        <v>35</v>
      </c>
      <c r="H32" s="260">
        <v>35</v>
      </c>
      <c r="I32" s="260">
        <v>5</v>
      </c>
      <c r="J32" s="259"/>
      <c r="K32" s="259"/>
      <c r="L32" s="259"/>
      <c r="M32" s="259"/>
      <c r="N32" s="259"/>
      <c r="O32" s="259"/>
      <c r="P32" s="259"/>
      <c r="S32" s="46">
        <f t="shared" si="5"/>
        <v>100</v>
      </c>
    </row>
    <row r="33" spans="1:19" x14ac:dyDescent="0.2">
      <c r="A33" s="257" t="str">
        <f t="shared" si="4"/>
        <v>5|6</v>
      </c>
      <c r="B33" s="258" t="s">
        <v>96</v>
      </c>
      <c r="C33" s="253" t="s">
        <v>298</v>
      </c>
      <c r="D33" s="254">
        <v>3</v>
      </c>
      <c r="E33" s="260"/>
      <c r="F33" s="260">
        <v>5</v>
      </c>
      <c r="G33" s="260">
        <v>40</v>
      </c>
      <c r="H33" s="260">
        <v>30</v>
      </c>
      <c r="I33" s="260">
        <v>25</v>
      </c>
      <c r="J33" s="259"/>
      <c r="K33" s="259"/>
      <c r="L33" s="259"/>
      <c r="M33" s="259"/>
      <c r="N33" s="259"/>
      <c r="O33" s="259"/>
      <c r="P33" s="259"/>
      <c r="S33" s="46">
        <f t="shared" si="5"/>
        <v>100</v>
      </c>
    </row>
    <row r="34" spans="1:19" x14ac:dyDescent="0.2">
      <c r="A34" s="257" t="str">
        <f t="shared" si="4"/>
        <v>5|7</v>
      </c>
      <c r="B34" s="258" t="s">
        <v>149</v>
      </c>
      <c r="C34" s="253" t="s">
        <v>156</v>
      </c>
      <c r="D34" s="254">
        <v>5</v>
      </c>
      <c r="E34" s="260"/>
      <c r="F34" s="260">
        <v>10</v>
      </c>
      <c r="G34" s="260">
        <v>35</v>
      </c>
      <c r="H34" s="260">
        <v>35</v>
      </c>
      <c r="I34" s="260">
        <v>20</v>
      </c>
      <c r="J34" s="259"/>
      <c r="K34" s="259"/>
      <c r="L34" s="259"/>
      <c r="M34" s="259"/>
      <c r="N34" s="259"/>
      <c r="O34" s="259"/>
      <c r="P34" s="259"/>
      <c r="S34" s="46">
        <f t="shared" si="5"/>
        <v>100</v>
      </c>
    </row>
    <row r="35" spans="1:19" x14ac:dyDescent="0.2">
      <c r="A35" s="257" t="str">
        <f t="shared" si="4"/>
        <v>5|8</v>
      </c>
      <c r="B35" s="258" t="s">
        <v>108</v>
      </c>
      <c r="C35" s="253" t="s">
        <v>157</v>
      </c>
      <c r="D35" s="254">
        <v>6</v>
      </c>
      <c r="E35" s="260"/>
      <c r="F35" s="260">
        <v>10</v>
      </c>
      <c r="G35" s="260">
        <v>35</v>
      </c>
      <c r="H35" s="260">
        <v>35</v>
      </c>
      <c r="I35" s="260">
        <v>20</v>
      </c>
      <c r="J35" s="259"/>
      <c r="K35" s="259"/>
      <c r="L35" s="259"/>
      <c r="M35" s="259"/>
      <c r="N35" s="259"/>
      <c r="O35" s="259"/>
      <c r="P35" s="259"/>
      <c r="S35" s="46">
        <f t="shared" si="5"/>
        <v>100</v>
      </c>
    </row>
    <row r="36" spans="1:19" x14ac:dyDescent="0.2">
      <c r="A36" s="257" t="str">
        <f t="shared" si="4"/>
        <v>5|9</v>
      </c>
      <c r="B36" s="258" t="s">
        <v>158</v>
      </c>
      <c r="C36" s="253" t="s">
        <v>159</v>
      </c>
      <c r="D36" s="254">
        <v>6</v>
      </c>
      <c r="E36" s="260">
        <v>5</v>
      </c>
      <c r="F36" s="260">
        <v>25</v>
      </c>
      <c r="G36" s="260">
        <v>25</v>
      </c>
      <c r="H36" s="260">
        <v>25</v>
      </c>
      <c r="I36" s="260">
        <v>20</v>
      </c>
      <c r="J36" s="259"/>
      <c r="K36" s="259"/>
      <c r="L36" s="259"/>
      <c r="M36" s="259"/>
      <c r="N36" s="259"/>
      <c r="O36" s="259"/>
      <c r="P36" s="259"/>
      <c r="S36" s="46">
        <f t="shared" si="5"/>
        <v>100</v>
      </c>
    </row>
    <row r="37" spans="1:19" x14ac:dyDescent="0.2">
      <c r="A37" s="257" t="str">
        <f t="shared" si="4"/>
        <v>5|10</v>
      </c>
      <c r="B37" s="258" t="s">
        <v>160</v>
      </c>
      <c r="C37" s="253" t="s">
        <v>153</v>
      </c>
      <c r="D37" s="254"/>
      <c r="E37" s="260">
        <v>25</v>
      </c>
      <c r="F37" s="260">
        <v>30</v>
      </c>
      <c r="G37" s="260">
        <v>30</v>
      </c>
      <c r="H37" s="260">
        <v>15</v>
      </c>
      <c r="I37" s="260"/>
      <c r="J37" s="259"/>
      <c r="K37" s="259"/>
      <c r="L37" s="259"/>
      <c r="M37" s="259"/>
      <c r="N37" s="259"/>
      <c r="O37" s="259"/>
      <c r="P37" s="259"/>
      <c r="S37" s="46">
        <f t="shared" si="5"/>
        <v>100</v>
      </c>
    </row>
    <row r="38" spans="1:19" x14ac:dyDescent="0.2">
      <c r="A38" s="257" t="str">
        <f t="shared" si="4"/>
        <v>5|11</v>
      </c>
      <c r="B38" s="258" t="s">
        <v>164</v>
      </c>
      <c r="C38" s="253" t="s">
        <v>169</v>
      </c>
      <c r="D38" s="254"/>
      <c r="E38" s="260">
        <v>7</v>
      </c>
      <c r="F38" s="260">
        <v>21</v>
      </c>
      <c r="G38" s="260">
        <v>27</v>
      </c>
      <c r="H38" s="260">
        <v>28</v>
      </c>
      <c r="I38" s="260">
        <v>17</v>
      </c>
      <c r="J38" s="259"/>
      <c r="K38" s="259"/>
      <c r="L38" s="259"/>
      <c r="M38" s="259"/>
      <c r="N38" s="259"/>
      <c r="O38" s="259"/>
      <c r="P38" s="259"/>
      <c r="S38" s="46">
        <f t="shared" si="5"/>
        <v>100</v>
      </c>
    </row>
    <row r="39" spans="1:19" ht="5.45" customHeight="1" x14ac:dyDescent="0.2"/>
    <row r="40" spans="1:19" ht="13.5" thickBot="1" x14ac:dyDescent="0.25">
      <c r="A40" s="261" t="s">
        <v>35</v>
      </c>
      <c r="B40" s="262">
        <v>6</v>
      </c>
      <c r="C40" s="263"/>
      <c r="D40" s="264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</row>
    <row r="41" spans="1:19" ht="13.5" thickTop="1" x14ac:dyDescent="0.2">
      <c r="A41" s="265" t="str">
        <f>CONCATENATE($B$40,"|",B41)</f>
        <v>6|1</v>
      </c>
      <c r="B41" s="252">
        <v>1</v>
      </c>
      <c r="C41" s="253" t="s">
        <v>154</v>
      </c>
      <c r="D41" s="254">
        <v>1</v>
      </c>
      <c r="E41" s="255">
        <v>20</v>
      </c>
      <c r="F41" s="255">
        <v>30</v>
      </c>
      <c r="G41" s="255">
        <v>30</v>
      </c>
      <c r="H41" s="255">
        <v>20</v>
      </c>
      <c r="I41" s="255"/>
      <c r="J41" s="256"/>
      <c r="K41" s="256"/>
      <c r="L41" s="256"/>
      <c r="M41" s="256"/>
      <c r="N41" s="256"/>
      <c r="O41" s="256"/>
      <c r="P41" s="256"/>
      <c r="S41" s="46">
        <f>SUM(E41:P41)</f>
        <v>100</v>
      </c>
    </row>
    <row r="42" spans="1:19" x14ac:dyDescent="0.2">
      <c r="A42" s="257" t="str">
        <f>CONCATENATE($B$40,"|",B42)</f>
        <v>6|2</v>
      </c>
      <c r="B42" s="258" t="s">
        <v>91</v>
      </c>
      <c r="C42" s="253" t="s">
        <v>150</v>
      </c>
      <c r="D42" s="254">
        <v>2</v>
      </c>
      <c r="E42" s="255">
        <v>15</v>
      </c>
      <c r="F42" s="255">
        <v>25</v>
      </c>
      <c r="G42" s="255">
        <v>30</v>
      </c>
      <c r="H42" s="255">
        <v>25</v>
      </c>
      <c r="I42" s="255">
        <v>5</v>
      </c>
      <c r="J42" s="259"/>
      <c r="K42" s="259"/>
      <c r="L42" s="259"/>
      <c r="M42" s="259"/>
      <c r="N42" s="259"/>
      <c r="O42" s="259"/>
      <c r="P42" s="259"/>
      <c r="S42" s="46">
        <f t="shared" ref="S42:S51" si="6">SUM(E42:P42)</f>
        <v>100</v>
      </c>
    </row>
    <row r="43" spans="1:19" x14ac:dyDescent="0.2">
      <c r="A43" s="257" t="str">
        <f t="shared" ref="A43:A51" si="7">CONCATENATE($B$40,"|",B43)</f>
        <v>6|3</v>
      </c>
      <c r="B43" s="258" t="s">
        <v>94</v>
      </c>
      <c r="C43" s="253" t="s">
        <v>155</v>
      </c>
      <c r="D43" s="254">
        <v>3</v>
      </c>
      <c r="E43" s="260">
        <v>5</v>
      </c>
      <c r="F43" s="260">
        <v>20</v>
      </c>
      <c r="G43" s="260">
        <v>30</v>
      </c>
      <c r="H43" s="260">
        <v>25</v>
      </c>
      <c r="I43" s="260">
        <v>20</v>
      </c>
      <c r="J43" s="259"/>
      <c r="K43" s="259"/>
      <c r="L43" s="259"/>
      <c r="M43" s="259"/>
      <c r="N43" s="259"/>
      <c r="O43" s="259"/>
      <c r="P43" s="259"/>
      <c r="S43" s="46">
        <f t="shared" si="6"/>
        <v>100</v>
      </c>
    </row>
    <row r="44" spans="1:19" x14ac:dyDescent="0.2">
      <c r="A44" s="257" t="str">
        <f t="shared" si="7"/>
        <v>6|4</v>
      </c>
      <c r="B44" s="258" t="s">
        <v>95</v>
      </c>
      <c r="C44" s="253" t="s">
        <v>151</v>
      </c>
      <c r="D44" s="254">
        <v>4</v>
      </c>
      <c r="E44" s="260"/>
      <c r="F44" s="260">
        <v>5</v>
      </c>
      <c r="G44" s="260">
        <v>20</v>
      </c>
      <c r="H44" s="260">
        <v>30</v>
      </c>
      <c r="I44" s="260">
        <v>25</v>
      </c>
      <c r="J44" s="259">
        <v>20</v>
      </c>
      <c r="K44" s="259"/>
      <c r="L44" s="259"/>
      <c r="M44" s="259"/>
      <c r="N44" s="259"/>
      <c r="O44" s="259"/>
      <c r="P44" s="259"/>
      <c r="S44" s="46">
        <f t="shared" si="6"/>
        <v>100</v>
      </c>
    </row>
    <row r="45" spans="1:19" x14ac:dyDescent="0.2">
      <c r="A45" s="257" t="str">
        <f t="shared" si="7"/>
        <v>6|5</v>
      </c>
      <c r="B45" s="258" t="s">
        <v>90</v>
      </c>
      <c r="C45" s="253" t="s">
        <v>152</v>
      </c>
      <c r="D45" s="254">
        <v>5</v>
      </c>
      <c r="E45" s="260"/>
      <c r="F45" s="260">
        <v>15</v>
      </c>
      <c r="G45" s="260">
        <v>30</v>
      </c>
      <c r="H45" s="260">
        <v>30</v>
      </c>
      <c r="I45" s="260">
        <v>25</v>
      </c>
      <c r="J45" s="259"/>
      <c r="K45" s="259"/>
      <c r="L45" s="259"/>
      <c r="M45" s="259"/>
      <c r="N45" s="259"/>
      <c r="O45" s="259"/>
      <c r="P45" s="259"/>
      <c r="S45" s="46">
        <f t="shared" si="6"/>
        <v>100</v>
      </c>
    </row>
    <row r="46" spans="1:19" x14ac:dyDescent="0.2">
      <c r="A46" s="257" t="str">
        <f t="shared" si="7"/>
        <v>6|6</v>
      </c>
      <c r="B46" s="258" t="s">
        <v>96</v>
      </c>
      <c r="C46" s="253" t="s">
        <v>298</v>
      </c>
      <c r="D46" s="254">
        <v>3</v>
      </c>
      <c r="E46" s="260"/>
      <c r="F46" s="260">
        <v>5</v>
      </c>
      <c r="G46" s="260">
        <v>10</v>
      </c>
      <c r="H46" s="260">
        <v>30</v>
      </c>
      <c r="I46" s="260">
        <v>30</v>
      </c>
      <c r="J46" s="259">
        <v>25</v>
      </c>
      <c r="K46" s="259"/>
      <c r="L46" s="259"/>
      <c r="M46" s="259"/>
      <c r="N46" s="259"/>
      <c r="O46" s="259"/>
      <c r="P46" s="259"/>
      <c r="S46" s="46">
        <f t="shared" si="6"/>
        <v>100</v>
      </c>
    </row>
    <row r="47" spans="1:19" x14ac:dyDescent="0.2">
      <c r="A47" s="257" t="str">
        <f t="shared" si="7"/>
        <v>6|7</v>
      </c>
      <c r="B47" s="258" t="s">
        <v>149</v>
      </c>
      <c r="C47" s="253" t="s">
        <v>156</v>
      </c>
      <c r="D47" s="254">
        <v>5</v>
      </c>
      <c r="E47" s="260"/>
      <c r="F47" s="260"/>
      <c r="G47" s="260">
        <v>20</v>
      </c>
      <c r="H47" s="260">
        <v>20</v>
      </c>
      <c r="I47" s="260">
        <v>30</v>
      </c>
      <c r="J47" s="259">
        <v>30</v>
      </c>
      <c r="K47" s="259"/>
      <c r="L47" s="259"/>
      <c r="M47" s="259"/>
      <c r="N47" s="259"/>
      <c r="O47" s="259"/>
      <c r="P47" s="259"/>
      <c r="S47" s="46">
        <f t="shared" si="6"/>
        <v>100</v>
      </c>
    </row>
    <row r="48" spans="1:19" x14ac:dyDescent="0.2">
      <c r="A48" s="257" t="str">
        <f t="shared" si="7"/>
        <v>6|8</v>
      </c>
      <c r="B48" s="258" t="s">
        <v>108</v>
      </c>
      <c r="C48" s="253" t="s">
        <v>157</v>
      </c>
      <c r="D48" s="254">
        <v>6</v>
      </c>
      <c r="E48" s="260"/>
      <c r="F48" s="260"/>
      <c r="G48" s="260">
        <v>20</v>
      </c>
      <c r="H48" s="260">
        <v>30</v>
      </c>
      <c r="I48" s="260">
        <v>30</v>
      </c>
      <c r="J48" s="259">
        <v>20</v>
      </c>
      <c r="K48" s="259"/>
      <c r="L48" s="259"/>
      <c r="M48" s="259"/>
      <c r="N48" s="259"/>
      <c r="O48" s="259"/>
      <c r="P48" s="259"/>
      <c r="S48" s="46">
        <f t="shared" si="6"/>
        <v>100</v>
      </c>
    </row>
    <row r="49" spans="1:19" x14ac:dyDescent="0.2">
      <c r="A49" s="257" t="str">
        <f t="shared" si="7"/>
        <v>6|9</v>
      </c>
      <c r="B49" s="258" t="s">
        <v>158</v>
      </c>
      <c r="C49" s="253" t="s">
        <v>159</v>
      </c>
      <c r="D49" s="254">
        <v>6</v>
      </c>
      <c r="E49" s="260">
        <v>5</v>
      </c>
      <c r="F49" s="260">
        <v>15</v>
      </c>
      <c r="G49" s="260">
        <v>25</v>
      </c>
      <c r="H49" s="260">
        <v>25</v>
      </c>
      <c r="I49" s="260">
        <v>20</v>
      </c>
      <c r="J49" s="259">
        <v>10</v>
      </c>
      <c r="K49" s="259"/>
      <c r="L49" s="259"/>
      <c r="M49" s="259"/>
      <c r="N49" s="259"/>
      <c r="O49" s="259"/>
      <c r="P49" s="259"/>
      <c r="S49" s="46">
        <f t="shared" si="6"/>
        <v>100</v>
      </c>
    </row>
    <row r="50" spans="1:19" x14ac:dyDescent="0.2">
      <c r="A50" s="257" t="str">
        <f t="shared" si="7"/>
        <v>6|10</v>
      </c>
      <c r="B50" s="258" t="s">
        <v>160</v>
      </c>
      <c r="C50" s="253" t="s">
        <v>153</v>
      </c>
      <c r="D50" s="254"/>
      <c r="E50" s="260">
        <v>20</v>
      </c>
      <c r="F50" s="260">
        <v>30</v>
      </c>
      <c r="G50" s="260">
        <v>30</v>
      </c>
      <c r="H50" s="260">
        <v>15</v>
      </c>
      <c r="I50" s="260">
        <v>5</v>
      </c>
      <c r="J50" s="259"/>
      <c r="K50" s="259"/>
      <c r="L50" s="259"/>
      <c r="M50" s="259"/>
      <c r="N50" s="259"/>
      <c r="O50" s="259"/>
      <c r="P50" s="259"/>
      <c r="S50" s="46">
        <f t="shared" si="6"/>
        <v>100</v>
      </c>
    </row>
    <row r="51" spans="1:19" x14ac:dyDescent="0.2">
      <c r="A51" s="257" t="str">
        <f t="shared" si="7"/>
        <v>6|11</v>
      </c>
      <c r="B51" s="258" t="s">
        <v>164</v>
      </c>
      <c r="C51" s="253" t="s">
        <v>169</v>
      </c>
      <c r="D51" s="254"/>
      <c r="E51" s="260">
        <v>3</v>
      </c>
      <c r="F51" s="260">
        <v>12</v>
      </c>
      <c r="G51" s="260">
        <v>25</v>
      </c>
      <c r="H51" s="260">
        <v>28</v>
      </c>
      <c r="I51" s="260">
        <v>21</v>
      </c>
      <c r="J51" s="259">
        <v>11</v>
      </c>
      <c r="K51" s="259"/>
      <c r="L51" s="259"/>
      <c r="M51" s="259"/>
      <c r="N51" s="259"/>
      <c r="O51" s="259"/>
      <c r="P51" s="259"/>
      <c r="S51" s="46">
        <f t="shared" si="6"/>
        <v>100</v>
      </c>
    </row>
    <row r="52" spans="1:19" ht="5.45" customHeight="1" x14ac:dyDescent="0.2"/>
    <row r="53" spans="1:19" ht="13.5" thickBot="1" x14ac:dyDescent="0.25">
      <c r="A53" s="261" t="s">
        <v>35</v>
      </c>
      <c r="B53" s="262">
        <v>7</v>
      </c>
      <c r="C53" s="263"/>
      <c r="D53" s="264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</row>
    <row r="54" spans="1:19" ht="13.5" thickTop="1" x14ac:dyDescent="0.2">
      <c r="A54" s="265" t="str">
        <f>CONCATENATE($B$53,"|",B54)</f>
        <v>7|1</v>
      </c>
      <c r="B54" s="252">
        <v>1</v>
      </c>
      <c r="C54" s="253" t="s">
        <v>154</v>
      </c>
      <c r="D54" s="254">
        <v>1</v>
      </c>
      <c r="E54" s="255">
        <v>15</v>
      </c>
      <c r="F54" s="255">
        <v>30</v>
      </c>
      <c r="G54" s="255">
        <v>30</v>
      </c>
      <c r="H54" s="255">
        <v>20</v>
      </c>
      <c r="I54" s="255">
        <v>5</v>
      </c>
      <c r="J54" s="256"/>
      <c r="K54" s="256"/>
      <c r="L54" s="256"/>
      <c r="M54" s="256"/>
      <c r="N54" s="256"/>
      <c r="O54" s="256"/>
      <c r="P54" s="256"/>
      <c r="S54" s="46">
        <f>SUM(E54:P54)</f>
        <v>100</v>
      </c>
    </row>
    <row r="55" spans="1:19" x14ac:dyDescent="0.2">
      <c r="A55" s="257" t="str">
        <f>CONCATENATE($B$53,"|",B55)</f>
        <v>7|2</v>
      </c>
      <c r="B55" s="258" t="s">
        <v>91</v>
      </c>
      <c r="C55" s="253" t="s">
        <v>150</v>
      </c>
      <c r="D55" s="254">
        <v>2</v>
      </c>
      <c r="E55" s="255">
        <v>15</v>
      </c>
      <c r="F55" s="255">
        <v>20</v>
      </c>
      <c r="G55" s="255">
        <v>25</v>
      </c>
      <c r="H55" s="255">
        <v>25</v>
      </c>
      <c r="I55" s="255">
        <v>15</v>
      </c>
      <c r="J55" s="259"/>
      <c r="K55" s="259"/>
      <c r="L55" s="259"/>
      <c r="M55" s="259"/>
      <c r="N55" s="259"/>
      <c r="O55" s="259"/>
      <c r="P55" s="259"/>
      <c r="S55" s="46">
        <f t="shared" ref="S55:S64" si="8">SUM(E55:P55)</f>
        <v>100</v>
      </c>
    </row>
    <row r="56" spans="1:19" x14ac:dyDescent="0.2">
      <c r="A56" s="257" t="str">
        <f t="shared" ref="A56:A64" si="9">CONCATENATE($B$53,"|",B56)</f>
        <v>7|3</v>
      </c>
      <c r="B56" s="258" t="s">
        <v>94</v>
      </c>
      <c r="C56" s="253" t="s">
        <v>155</v>
      </c>
      <c r="D56" s="254">
        <v>3</v>
      </c>
      <c r="E56" s="260">
        <v>5</v>
      </c>
      <c r="F56" s="260">
        <v>15</v>
      </c>
      <c r="G56" s="260">
        <v>20</v>
      </c>
      <c r="H56" s="260">
        <v>25</v>
      </c>
      <c r="I56" s="260">
        <v>20</v>
      </c>
      <c r="J56" s="259">
        <v>15</v>
      </c>
      <c r="K56" s="259"/>
      <c r="L56" s="259"/>
      <c r="M56" s="259"/>
      <c r="N56" s="259"/>
      <c r="O56" s="259"/>
      <c r="P56" s="259"/>
      <c r="S56" s="46">
        <f t="shared" si="8"/>
        <v>100</v>
      </c>
    </row>
    <row r="57" spans="1:19" x14ac:dyDescent="0.2">
      <c r="A57" s="257" t="str">
        <f t="shared" si="9"/>
        <v>7|4</v>
      </c>
      <c r="B57" s="258" t="s">
        <v>95</v>
      </c>
      <c r="C57" s="253" t="s">
        <v>151</v>
      </c>
      <c r="D57" s="254">
        <v>4</v>
      </c>
      <c r="E57" s="260"/>
      <c r="F57" s="260"/>
      <c r="G57" s="260">
        <v>15</v>
      </c>
      <c r="H57" s="260">
        <v>25</v>
      </c>
      <c r="I57" s="260">
        <v>25</v>
      </c>
      <c r="J57" s="259">
        <v>25</v>
      </c>
      <c r="K57" s="259">
        <v>10</v>
      </c>
      <c r="L57" s="259"/>
      <c r="M57" s="259"/>
      <c r="N57" s="259"/>
      <c r="O57" s="259"/>
      <c r="P57" s="259"/>
      <c r="S57" s="46">
        <f t="shared" si="8"/>
        <v>100</v>
      </c>
    </row>
    <row r="58" spans="1:19" x14ac:dyDescent="0.2">
      <c r="A58" s="257" t="str">
        <f t="shared" si="9"/>
        <v>7|5</v>
      </c>
      <c r="B58" s="258" t="s">
        <v>90</v>
      </c>
      <c r="C58" s="253" t="s">
        <v>152</v>
      </c>
      <c r="D58" s="254">
        <v>5</v>
      </c>
      <c r="E58" s="260"/>
      <c r="F58" s="260">
        <v>10</v>
      </c>
      <c r="G58" s="260">
        <v>15</v>
      </c>
      <c r="H58" s="260">
        <v>30</v>
      </c>
      <c r="I58" s="260">
        <v>30</v>
      </c>
      <c r="J58" s="259">
        <v>15</v>
      </c>
      <c r="K58" s="259"/>
      <c r="L58" s="259"/>
      <c r="M58" s="259"/>
      <c r="N58" s="259"/>
      <c r="O58" s="259"/>
      <c r="P58" s="259"/>
      <c r="S58" s="46">
        <f t="shared" si="8"/>
        <v>100</v>
      </c>
    </row>
    <row r="59" spans="1:19" x14ac:dyDescent="0.2">
      <c r="A59" s="257" t="str">
        <f t="shared" si="9"/>
        <v>7|6</v>
      </c>
      <c r="B59" s="258" t="s">
        <v>96</v>
      </c>
      <c r="C59" s="253" t="s">
        <v>298</v>
      </c>
      <c r="D59" s="254">
        <v>3</v>
      </c>
      <c r="E59" s="260"/>
      <c r="F59" s="260">
        <v>5</v>
      </c>
      <c r="G59" s="260">
        <v>10</v>
      </c>
      <c r="H59" s="260">
        <v>25</v>
      </c>
      <c r="I59" s="260">
        <v>25</v>
      </c>
      <c r="J59" s="259">
        <v>20</v>
      </c>
      <c r="K59" s="259">
        <v>15</v>
      </c>
      <c r="L59" s="259"/>
      <c r="M59" s="259"/>
      <c r="N59" s="259"/>
      <c r="O59" s="259"/>
      <c r="P59" s="259"/>
      <c r="S59" s="46">
        <f t="shared" si="8"/>
        <v>100</v>
      </c>
    </row>
    <row r="60" spans="1:19" x14ac:dyDescent="0.2">
      <c r="A60" s="257" t="str">
        <f t="shared" si="9"/>
        <v>7|7</v>
      </c>
      <c r="B60" s="258" t="s">
        <v>149</v>
      </c>
      <c r="C60" s="253" t="s">
        <v>156</v>
      </c>
      <c r="D60" s="254">
        <v>5</v>
      </c>
      <c r="E60" s="260"/>
      <c r="F60" s="260"/>
      <c r="G60" s="260">
        <v>15</v>
      </c>
      <c r="H60" s="260">
        <v>15</v>
      </c>
      <c r="I60" s="260">
        <v>25</v>
      </c>
      <c r="J60" s="260">
        <v>25</v>
      </c>
      <c r="K60" s="259">
        <v>20</v>
      </c>
      <c r="L60" s="259"/>
      <c r="M60" s="259"/>
      <c r="N60" s="259"/>
      <c r="O60" s="259"/>
      <c r="P60" s="259"/>
      <c r="S60" s="46">
        <f t="shared" si="8"/>
        <v>100</v>
      </c>
    </row>
    <row r="61" spans="1:19" x14ac:dyDescent="0.2">
      <c r="A61" s="257" t="str">
        <f t="shared" si="9"/>
        <v>7|8</v>
      </c>
      <c r="B61" s="258" t="s">
        <v>108</v>
      </c>
      <c r="C61" s="253" t="s">
        <v>157</v>
      </c>
      <c r="D61" s="254">
        <v>6</v>
      </c>
      <c r="E61" s="260"/>
      <c r="F61" s="260"/>
      <c r="G61" s="260">
        <v>10</v>
      </c>
      <c r="H61" s="260">
        <v>20</v>
      </c>
      <c r="I61" s="260">
        <v>20</v>
      </c>
      <c r="J61" s="259">
        <v>30</v>
      </c>
      <c r="K61" s="259">
        <v>20</v>
      </c>
      <c r="L61" s="259"/>
      <c r="M61" s="259"/>
      <c r="N61" s="259"/>
      <c r="O61" s="259"/>
      <c r="P61" s="259"/>
      <c r="S61" s="46">
        <f t="shared" si="8"/>
        <v>100</v>
      </c>
    </row>
    <row r="62" spans="1:19" x14ac:dyDescent="0.2">
      <c r="A62" s="257" t="str">
        <f t="shared" si="9"/>
        <v>7|9</v>
      </c>
      <c r="B62" s="258" t="s">
        <v>158</v>
      </c>
      <c r="C62" s="253" t="s">
        <v>159</v>
      </c>
      <c r="D62" s="254">
        <v>6</v>
      </c>
      <c r="E62" s="260">
        <v>5</v>
      </c>
      <c r="F62" s="260">
        <v>10</v>
      </c>
      <c r="G62" s="260">
        <v>20</v>
      </c>
      <c r="H62" s="260">
        <v>20</v>
      </c>
      <c r="I62" s="260">
        <v>20</v>
      </c>
      <c r="J62" s="259">
        <v>15</v>
      </c>
      <c r="K62" s="259">
        <v>10</v>
      </c>
      <c r="L62" s="259"/>
      <c r="M62" s="259"/>
      <c r="N62" s="259"/>
      <c r="O62" s="259"/>
      <c r="P62" s="259"/>
      <c r="S62" s="46">
        <f t="shared" si="8"/>
        <v>100</v>
      </c>
    </row>
    <row r="63" spans="1:19" x14ac:dyDescent="0.2">
      <c r="A63" s="257" t="str">
        <f t="shared" si="9"/>
        <v>7|10</v>
      </c>
      <c r="B63" s="258" t="s">
        <v>160</v>
      </c>
      <c r="C63" s="253" t="s">
        <v>153</v>
      </c>
      <c r="D63" s="254"/>
      <c r="E63" s="260">
        <v>15</v>
      </c>
      <c r="F63" s="260">
        <v>25</v>
      </c>
      <c r="G63" s="260">
        <v>25</v>
      </c>
      <c r="H63" s="260">
        <v>20</v>
      </c>
      <c r="I63" s="260">
        <v>10</v>
      </c>
      <c r="J63" s="259">
        <v>5</v>
      </c>
      <c r="K63" s="259"/>
      <c r="L63" s="259"/>
      <c r="M63" s="259"/>
      <c r="N63" s="259"/>
      <c r="O63" s="259"/>
      <c r="P63" s="259"/>
      <c r="S63" s="46">
        <f t="shared" si="8"/>
        <v>100</v>
      </c>
    </row>
    <row r="64" spans="1:19" x14ac:dyDescent="0.2">
      <c r="A64" s="257" t="str">
        <f t="shared" si="9"/>
        <v>7|11</v>
      </c>
      <c r="B64" s="258" t="s">
        <v>164</v>
      </c>
      <c r="C64" s="253" t="s">
        <v>169</v>
      </c>
      <c r="D64" s="254"/>
      <c r="E64" s="260">
        <v>2</v>
      </c>
      <c r="F64" s="260">
        <v>8</v>
      </c>
      <c r="G64" s="260">
        <v>18</v>
      </c>
      <c r="H64" s="260">
        <v>20</v>
      </c>
      <c r="I64" s="260">
        <v>20</v>
      </c>
      <c r="J64" s="259">
        <v>20</v>
      </c>
      <c r="K64" s="259">
        <v>12</v>
      </c>
      <c r="L64" s="259"/>
      <c r="M64" s="259"/>
      <c r="N64" s="259"/>
      <c r="O64" s="259"/>
      <c r="P64" s="259"/>
      <c r="S64" s="46">
        <f t="shared" si="8"/>
        <v>100</v>
      </c>
    </row>
    <row r="65" spans="1:19" ht="5.45" customHeight="1" x14ac:dyDescent="0.2"/>
    <row r="66" spans="1:19" ht="13.5" thickBot="1" x14ac:dyDescent="0.25">
      <c r="A66" s="261" t="s">
        <v>35</v>
      </c>
      <c r="B66" s="262">
        <v>8</v>
      </c>
      <c r="C66" s="263"/>
      <c r="D66" s="264"/>
      <c r="E66" s="250"/>
      <c r="F66" s="250"/>
      <c r="G66" s="250"/>
      <c r="H66" s="250"/>
      <c r="I66" s="250"/>
      <c r="J66" s="250"/>
      <c r="K66" s="250"/>
      <c r="L66" s="250"/>
      <c r="M66" s="250"/>
      <c r="N66" s="250"/>
      <c r="O66" s="250"/>
      <c r="P66" s="250"/>
    </row>
    <row r="67" spans="1:19" ht="13.5" thickTop="1" x14ac:dyDescent="0.2">
      <c r="A67" s="265" t="str">
        <f>CONCATENATE($B$66,"|",B67)</f>
        <v>8|1</v>
      </c>
      <c r="B67" s="252">
        <v>1</v>
      </c>
      <c r="C67" s="253" t="s">
        <v>154</v>
      </c>
      <c r="D67" s="254">
        <v>1</v>
      </c>
      <c r="E67" s="255">
        <v>15</v>
      </c>
      <c r="F67" s="255">
        <v>20</v>
      </c>
      <c r="G67" s="255">
        <v>25</v>
      </c>
      <c r="H67" s="255">
        <v>25</v>
      </c>
      <c r="I67" s="255">
        <v>10</v>
      </c>
      <c r="J67" s="256">
        <v>5</v>
      </c>
      <c r="K67" s="256"/>
      <c r="L67" s="256"/>
      <c r="M67" s="256"/>
      <c r="N67" s="256"/>
      <c r="O67" s="256"/>
      <c r="P67" s="256"/>
      <c r="S67" s="46">
        <f>SUM(E67:P67)</f>
        <v>100</v>
      </c>
    </row>
    <row r="68" spans="1:19" x14ac:dyDescent="0.2">
      <c r="A68" s="257" t="str">
        <f>CONCATENATE($B$66,"|",B68)</f>
        <v>8|2</v>
      </c>
      <c r="B68" s="258" t="s">
        <v>91</v>
      </c>
      <c r="C68" s="253" t="s">
        <v>150</v>
      </c>
      <c r="D68" s="254">
        <v>2</v>
      </c>
      <c r="E68" s="255">
        <v>15</v>
      </c>
      <c r="F68" s="255">
        <v>20</v>
      </c>
      <c r="G68" s="255">
        <v>25</v>
      </c>
      <c r="H68" s="255">
        <v>25</v>
      </c>
      <c r="I68" s="255">
        <v>10</v>
      </c>
      <c r="J68" s="259">
        <v>5</v>
      </c>
      <c r="K68" s="259"/>
      <c r="L68" s="259"/>
      <c r="M68" s="259"/>
      <c r="N68" s="259"/>
      <c r="O68" s="259"/>
      <c r="P68" s="259"/>
      <c r="S68" s="46">
        <f t="shared" ref="S68:S77" si="10">SUM(E68:P68)</f>
        <v>100</v>
      </c>
    </row>
    <row r="69" spans="1:19" x14ac:dyDescent="0.2">
      <c r="A69" s="257" t="str">
        <f t="shared" ref="A69:A77" si="11">CONCATENATE($B$66,"|",B69)</f>
        <v>8|3</v>
      </c>
      <c r="B69" s="258" t="s">
        <v>94</v>
      </c>
      <c r="C69" s="253" t="s">
        <v>155</v>
      </c>
      <c r="D69" s="254">
        <v>3</v>
      </c>
      <c r="E69" s="260">
        <v>5</v>
      </c>
      <c r="F69" s="260">
        <v>10</v>
      </c>
      <c r="G69" s="260">
        <v>15</v>
      </c>
      <c r="H69" s="260">
        <v>20</v>
      </c>
      <c r="I69" s="260">
        <v>20</v>
      </c>
      <c r="J69" s="259">
        <v>20</v>
      </c>
      <c r="K69" s="259">
        <v>10</v>
      </c>
      <c r="L69" s="259"/>
      <c r="M69" s="259"/>
      <c r="N69" s="259"/>
      <c r="O69" s="259"/>
      <c r="P69" s="259"/>
      <c r="S69" s="46">
        <f t="shared" si="10"/>
        <v>100</v>
      </c>
    </row>
    <row r="70" spans="1:19" x14ac:dyDescent="0.2">
      <c r="A70" s="257" t="str">
        <f t="shared" si="11"/>
        <v>8|4</v>
      </c>
      <c r="B70" s="258" t="s">
        <v>95</v>
      </c>
      <c r="C70" s="253" t="s">
        <v>151</v>
      </c>
      <c r="D70" s="254">
        <v>4</v>
      </c>
      <c r="E70" s="260"/>
      <c r="F70" s="260"/>
      <c r="G70" s="260">
        <v>10</v>
      </c>
      <c r="H70" s="260">
        <v>25</v>
      </c>
      <c r="I70" s="260">
        <v>25</v>
      </c>
      <c r="J70" s="259">
        <v>20</v>
      </c>
      <c r="K70" s="259">
        <v>10</v>
      </c>
      <c r="L70" s="259">
        <v>10</v>
      </c>
      <c r="M70" s="259"/>
      <c r="N70" s="259"/>
      <c r="O70" s="259"/>
      <c r="P70" s="259"/>
      <c r="S70" s="46">
        <f t="shared" si="10"/>
        <v>100</v>
      </c>
    </row>
    <row r="71" spans="1:19" x14ac:dyDescent="0.2">
      <c r="A71" s="257" t="str">
        <f t="shared" si="11"/>
        <v>8|5</v>
      </c>
      <c r="B71" s="258" t="s">
        <v>90</v>
      </c>
      <c r="C71" s="253" t="s">
        <v>152</v>
      </c>
      <c r="D71" s="254">
        <v>5</v>
      </c>
      <c r="E71" s="260"/>
      <c r="F71" s="260">
        <v>5</v>
      </c>
      <c r="G71" s="260">
        <v>15</v>
      </c>
      <c r="H71" s="260">
        <v>25</v>
      </c>
      <c r="I71" s="260">
        <v>25</v>
      </c>
      <c r="J71" s="259">
        <v>15</v>
      </c>
      <c r="K71" s="259">
        <v>15</v>
      </c>
      <c r="L71" s="259"/>
      <c r="M71" s="259"/>
      <c r="N71" s="259"/>
      <c r="O71" s="259"/>
      <c r="P71" s="259"/>
      <c r="S71" s="46">
        <f t="shared" si="10"/>
        <v>100</v>
      </c>
    </row>
    <row r="72" spans="1:19" x14ac:dyDescent="0.2">
      <c r="A72" s="257" t="str">
        <f t="shared" si="11"/>
        <v>8|6</v>
      </c>
      <c r="B72" s="258" t="s">
        <v>96</v>
      </c>
      <c r="C72" s="253" t="s">
        <v>298</v>
      </c>
      <c r="D72" s="254">
        <v>3</v>
      </c>
      <c r="E72" s="260"/>
      <c r="F72" s="260"/>
      <c r="G72" s="260">
        <v>5</v>
      </c>
      <c r="H72" s="260">
        <v>20</v>
      </c>
      <c r="I72" s="260">
        <v>20</v>
      </c>
      <c r="J72" s="259">
        <v>25</v>
      </c>
      <c r="K72" s="259">
        <v>20</v>
      </c>
      <c r="L72" s="259">
        <v>10</v>
      </c>
      <c r="M72" s="259"/>
      <c r="N72" s="259"/>
      <c r="O72" s="259"/>
      <c r="P72" s="259"/>
      <c r="S72" s="46">
        <f t="shared" si="10"/>
        <v>100</v>
      </c>
    </row>
    <row r="73" spans="1:19" x14ac:dyDescent="0.2">
      <c r="A73" s="257" t="str">
        <f t="shared" si="11"/>
        <v>8|7</v>
      </c>
      <c r="B73" s="258" t="s">
        <v>149</v>
      </c>
      <c r="C73" s="253" t="s">
        <v>156</v>
      </c>
      <c r="D73" s="254">
        <v>5</v>
      </c>
      <c r="E73" s="260"/>
      <c r="F73" s="260"/>
      <c r="G73" s="260">
        <v>5</v>
      </c>
      <c r="H73" s="260">
        <v>15</v>
      </c>
      <c r="I73" s="260">
        <v>20</v>
      </c>
      <c r="J73" s="260">
        <v>25</v>
      </c>
      <c r="K73" s="260">
        <v>25</v>
      </c>
      <c r="L73" s="260">
        <v>10</v>
      </c>
      <c r="M73" s="259"/>
      <c r="N73" s="259"/>
      <c r="O73" s="259"/>
      <c r="P73" s="259"/>
      <c r="S73" s="46">
        <f t="shared" si="10"/>
        <v>100</v>
      </c>
    </row>
    <row r="74" spans="1:19" x14ac:dyDescent="0.2">
      <c r="A74" s="257" t="str">
        <f t="shared" si="11"/>
        <v>8|8</v>
      </c>
      <c r="B74" s="258" t="s">
        <v>108</v>
      </c>
      <c r="C74" s="253" t="s">
        <v>157</v>
      </c>
      <c r="D74" s="254">
        <v>6</v>
      </c>
      <c r="E74" s="260"/>
      <c r="F74" s="260"/>
      <c r="G74" s="260"/>
      <c r="H74" s="260">
        <v>20</v>
      </c>
      <c r="I74" s="260">
        <v>20</v>
      </c>
      <c r="J74" s="259">
        <v>30</v>
      </c>
      <c r="K74" s="259">
        <v>20</v>
      </c>
      <c r="L74" s="259">
        <v>10</v>
      </c>
      <c r="M74" s="259"/>
      <c r="N74" s="259"/>
      <c r="O74" s="259"/>
      <c r="P74" s="259"/>
      <c r="S74" s="46">
        <f t="shared" si="10"/>
        <v>100</v>
      </c>
    </row>
    <row r="75" spans="1:19" x14ac:dyDescent="0.2">
      <c r="A75" s="257" t="str">
        <f t="shared" si="11"/>
        <v>8|9</v>
      </c>
      <c r="B75" s="258" t="s">
        <v>158</v>
      </c>
      <c r="C75" s="253" t="s">
        <v>159</v>
      </c>
      <c r="D75" s="254">
        <v>6</v>
      </c>
      <c r="E75" s="260">
        <v>5</v>
      </c>
      <c r="F75" s="260">
        <v>5</v>
      </c>
      <c r="G75" s="260">
        <v>10</v>
      </c>
      <c r="H75" s="260">
        <v>15</v>
      </c>
      <c r="I75" s="260">
        <v>20</v>
      </c>
      <c r="J75" s="259">
        <v>20</v>
      </c>
      <c r="K75" s="259">
        <v>15</v>
      </c>
      <c r="L75" s="259">
        <v>10</v>
      </c>
      <c r="M75" s="259"/>
      <c r="N75" s="259"/>
      <c r="O75" s="259"/>
      <c r="P75" s="259"/>
      <c r="S75" s="46">
        <f t="shared" si="10"/>
        <v>100</v>
      </c>
    </row>
    <row r="76" spans="1:19" x14ac:dyDescent="0.2">
      <c r="A76" s="257" t="str">
        <f t="shared" si="11"/>
        <v>8|10</v>
      </c>
      <c r="B76" s="258" t="s">
        <v>160</v>
      </c>
      <c r="C76" s="253" t="s">
        <v>153</v>
      </c>
      <c r="D76" s="254"/>
      <c r="E76" s="260">
        <v>15</v>
      </c>
      <c r="F76" s="260">
        <v>20</v>
      </c>
      <c r="G76" s="260">
        <v>20</v>
      </c>
      <c r="H76" s="260">
        <v>20</v>
      </c>
      <c r="I76" s="260">
        <v>15</v>
      </c>
      <c r="J76" s="259">
        <v>10</v>
      </c>
      <c r="K76" s="259"/>
      <c r="L76" s="259"/>
      <c r="M76" s="259"/>
      <c r="N76" s="259"/>
      <c r="O76" s="259"/>
      <c r="P76" s="259"/>
      <c r="S76" s="46">
        <f t="shared" si="10"/>
        <v>100</v>
      </c>
    </row>
    <row r="77" spans="1:19" x14ac:dyDescent="0.2">
      <c r="A77" s="257" t="str">
        <f t="shared" si="11"/>
        <v>8|11</v>
      </c>
      <c r="B77" s="258" t="s">
        <v>164</v>
      </c>
      <c r="C77" s="253" t="s">
        <v>169</v>
      </c>
      <c r="D77" s="254"/>
      <c r="E77" s="260">
        <v>2</v>
      </c>
      <c r="F77" s="260">
        <v>2</v>
      </c>
      <c r="G77" s="260">
        <v>13</v>
      </c>
      <c r="H77" s="260">
        <v>15</v>
      </c>
      <c r="I77" s="260">
        <v>15</v>
      </c>
      <c r="J77" s="259">
        <v>22</v>
      </c>
      <c r="K77" s="259">
        <v>23</v>
      </c>
      <c r="L77" s="259">
        <v>8</v>
      </c>
      <c r="M77" s="259"/>
      <c r="N77" s="259"/>
      <c r="O77" s="259"/>
      <c r="P77" s="259"/>
      <c r="S77" s="46">
        <f t="shared" si="10"/>
        <v>100</v>
      </c>
    </row>
    <row r="78" spans="1:19" ht="5.45" customHeight="1" x14ac:dyDescent="0.2"/>
    <row r="79" spans="1:19" ht="13.5" thickBot="1" x14ac:dyDescent="0.25">
      <c r="A79" s="261" t="s">
        <v>35</v>
      </c>
      <c r="B79" s="262">
        <v>9</v>
      </c>
      <c r="C79" s="263"/>
      <c r="D79" s="264"/>
      <c r="E79" s="250"/>
      <c r="F79" s="250"/>
      <c r="G79" s="250"/>
      <c r="H79" s="250"/>
      <c r="I79" s="250"/>
      <c r="J79" s="250"/>
      <c r="K79" s="250"/>
      <c r="L79" s="250"/>
      <c r="M79" s="250"/>
      <c r="N79" s="250"/>
      <c r="O79" s="250"/>
      <c r="P79" s="250"/>
    </row>
    <row r="80" spans="1:19" ht="13.5" thickTop="1" x14ac:dyDescent="0.2">
      <c r="A80" s="265" t="str">
        <f>CONCATENATE($B$79,"|",B80)</f>
        <v>9|1</v>
      </c>
      <c r="B80" s="252">
        <v>1</v>
      </c>
      <c r="C80" s="253" t="s">
        <v>154</v>
      </c>
      <c r="D80" s="254">
        <v>1</v>
      </c>
      <c r="E80" s="255">
        <v>15</v>
      </c>
      <c r="F80" s="255">
        <v>15</v>
      </c>
      <c r="G80" s="255">
        <v>20</v>
      </c>
      <c r="H80" s="255">
        <v>20</v>
      </c>
      <c r="I80" s="255">
        <v>20</v>
      </c>
      <c r="J80" s="256">
        <v>10</v>
      </c>
      <c r="K80" s="256"/>
      <c r="L80" s="256"/>
      <c r="M80" s="256"/>
      <c r="N80" s="256"/>
      <c r="O80" s="256"/>
      <c r="P80" s="256"/>
      <c r="S80" s="46">
        <f>SUM(E80:P80)</f>
        <v>100</v>
      </c>
    </row>
    <row r="81" spans="1:19" x14ac:dyDescent="0.2">
      <c r="A81" s="257" t="str">
        <f>CONCATENATE($B$79,"|",B81)</f>
        <v>9|2</v>
      </c>
      <c r="B81" s="258" t="s">
        <v>91</v>
      </c>
      <c r="C81" s="253" t="s">
        <v>150</v>
      </c>
      <c r="D81" s="254">
        <v>2</v>
      </c>
      <c r="E81" s="255">
        <v>10</v>
      </c>
      <c r="F81" s="255">
        <v>15</v>
      </c>
      <c r="G81" s="255">
        <v>20</v>
      </c>
      <c r="H81" s="255">
        <v>20</v>
      </c>
      <c r="I81" s="255">
        <v>15</v>
      </c>
      <c r="J81" s="259">
        <v>15</v>
      </c>
      <c r="K81" s="259">
        <v>5</v>
      </c>
      <c r="L81" s="259"/>
      <c r="M81" s="259"/>
      <c r="N81" s="259"/>
      <c r="O81" s="259"/>
      <c r="P81" s="259"/>
      <c r="S81" s="46">
        <f t="shared" ref="S81:S90" si="12">SUM(E81:P81)</f>
        <v>100</v>
      </c>
    </row>
    <row r="82" spans="1:19" x14ac:dyDescent="0.2">
      <c r="A82" s="257" t="str">
        <f t="shared" ref="A82:A90" si="13">CONCATENATE($B$79,"|",B82)</f>
        <v>9|3</v>
      </c>
      <c r="B82" s="258" t="s">
        <v>94</v>
      </c>
      <c r="C82" s="253" t="s">
        <v>155</v>
      </c>
      <c r="D82" s="254">
        <v>3</v>
      </c>
      <c r="E82" s="260">
        <v>5</v>
      </c>
      <c r="F82" s="260">
        <v>10</v>
      </c>
      <c r="G82" s="260">
        <v>15</v>
      </c>
      <c r="H82" s="260">
        <v>20</v>
      </c>
      <c r="I82" s="260">
        <v>20</v>
      </c>
      <c r="J82" s="259">
        <v>10</v>
      </c>
      <c r="K82" s="259">
        <v>10</v>
      </c>
      <c r="L82" s="259">
        <v>10</v>
      </c>
      <c r="M82" s="259"/>
      <c r="N82" s="259"/>
      <c r="O82" s="259"/>
      <c r="P82" s="259"/>
      <c r="S82" s="46">
        <f t="shared" si="12"/>
        <v>100</v>
      </c>
    </row>
    <row r="83" spans="1:19" x14ac:dyDescent="0.2">
      <c r="A83" s="257" t="str">
        <f t="shared" si="13"/>
        <v>9|4</v>
      </c>
      <c r="B83" s="258" t="s">
        <v>95</v>
      </c>
      <c r="C83" s="253" t="s">
        <v>151</v>
      </c>
      <c r="D83" s="254">
        <v>4</v>
      </c>
      <c r="E83" s="260"/>
      <c r="F83" s="260"/>
      <c r="G83" s="260">
        <v>5</v>
      </c>
      <c r="H83" s="260">
        <v>15</v>
      </c>
      <c r="I83" s="260">
        <v>20</v>
      </c>
      <c r="J83" s="259">
        <v>20</v>
      </c>
      <c r="K83" s="259">
        <v>20</v>
      </c>
      <c r="L83" s="259">
        <v>15</v>
      </c>
      <c r="M83" s="259">
        <v>5</v>
      </c>
      <c r="N83" s="259"/>
      <c r="O83" s="259"/>
      <c r="P83" s="259"/>
      <c r="S83" s="46">
        <f t="shared" si="12"/>
        <v>100</v>
      </c>
    </row>
    <row r="84" spans="1:19" x14ac:dyDescent="0.2">
      <c r="A84" s="257" t="str">
        <f t="shared" si="13"/>
        <v>9|5</v>
      </c>
      <c r="B84" s="258" t="s">
        <v>90</v>
      </c>
      <c r="C84" s="253" t="s">
        <v>152</v>
      </c>
      <c r="D84" s="254">
        <v>5</v>
      </c>
      <c r="E84" s="260"/>
      <c r="F84" s="260">
        <v>5</v>
      </c>
      <c r="G84" s="260">
        <v>10</v>
      </c>
      <c r="H84" s="260">
        <v>15</v>
      </c>
      <c r="I84" s="260">
        <v>20</v>
      </c>
      <c r="J84" s="259">
        <v>20</v>
      </c>
      <c r="K84" s="259">
        <v>20</v>
      </c>
      <c r="L84" s="259">
        <v>10</v>
      </c>
      <c r="M84" s="259"/>
      <c r="N84" s="259"/>
      <c r="O84" s="259"/>
      <c r="P84" s="259"/>
      <c r="S84" s="46">
        <f t="shared" si="12"/>
        <v>100</v>
      </c>
    </row>
    <row r="85" spans="1:19" x14ac:dyDescent="0.2">
      <c r="A85" s="257" t="str">
        <f t="shared" si="13"/>
        <v>9|6</v>
      </c>
      <c r="B85" s="258" t="s">
        <v>96</v>
      </c>
      <c r="C85" s="253" t="s">
        <v>298</v>
      </c>
      <c r="D85" s="254">
        <v>3</v>
      </c>
      <c r="E85" s="260"/>
      <c r="F85" s="260"/>
      <c r="G85" s="260">
        <v>5</v>
      </c>
      <c r="H85" s="260">
        <v>10</v>
      </c>
      <c r="I85" s="260">
        <v>20</v>
      </c>
      <c r="J85" s="259">
        <v>20</v>
      </c>
      <c r="K85" s="259">
        <v>20</v>
      </c>
      <c r="L85" s="259">
        <v>15</v>
      </c>
      <c r="M85" s="259">
        <v>10</v>
      </c>
      <c r="N85" s="259"/>
      <c r="O85" s="259"/>
      <c r="P85" s="259"/>
      <c r="S85" s="46">
        <f t="shared" si="12"/>
        <v>100</v>
      </c>
    </row>
    <row r="86" spans="1:19" x14ac:dyDescent="0.2">
      <c r="A86" s="257" t="str">
        <f t="shared" si="13"/>
        <v>9|7</v>
      </c>
      <c r="B86" s="258" t="s">
        <v>149</v>
      </c>
      <c r="C86" s="253" t="s">
        <v>156</v>
      </c>
      <c r="D86" s="254">
        <v>5</v>
      </c>
      <c r="E86" s="260"/>
      <c r="F86" s="260"/>
      <c r="G86" s="260"/>
      <c r="H86" s="260">
        <v>15</v>
      </c>
      <c r="I86" s="260">
        <v>15</v>
      </c>
      <c r="J86" s="259">
        <v>15</v>
      </c>
      <c r="K86" s="259">
        <v>20</v>
      </c>
      <c r="L86" s="259">
        <v>20</v>
      </c>
      <c r="M86" s="259">
        <v>15</v>
      </c>
      <c r="N86" s="259"/>
      <c r="O86" s="259"/>
      <c r="P86" s="259"/>
      <c r="S86" s="46">
        <f t="shared" si="12"/>
        <v>100</v>
      </c>
    </row>
    <row r="87" spans="1:19" x14ac:dyDescent="0.2">
      <c r="A87" s="257" t="str">
        <f t="shared" si="13"/>
        <v>9|8</v>
      </c>
      <c r="B87" s="258" t="s">
        <v>108</v>
      </c>
      <c r="C87" s="253" t="s">
        <v>157</v>
      </c>
      <c r="D87" s="254">
        <v>6</v>
      </c>
      <c r="E87" s="260"/>
      <c r="F87" s="260"/>
      <c r="G87" s="260"/>
      <c r="H87" s="260">
        <v>10</v>
      </c>
      <c r="I87" s="260">
        <v>20</v>
      </c>
      <c r="J87" s="259">
        <v>30</v>
      </c>
      <c r="K87" s="259">
        <v>20</v>
      </c>
      <c r="L87" s="259">
        <v>10</v>
      </c>
      <c r="M87" s="259">
        <v>10</v>
      </c>
      <c r="N87" s="259"/>
      <c r="O87" s="259"/>
      <c r="P87" s="259"/>
      <c r="S87" s="46">
        <f t="shared" si="12"/>
        <v>100</v>
      </c>
    </row>
    <row r="88" spans="1:19" x14ac:dyDescent="0.2">
      <c r="A88" s="257" t="str">
        <f t="shared" si="13"/>
        <v>9|9</v>
      </c>
      <c r="B88" s="258" t="s">
        <v>158</v>
      </c>
      <c r="C88" s="253" t="s">
        <v>159</v>
      </c>
      <c r="D88" s="254">
        <v>6</v>
      </c>
      <c r="E88" s="260">
        <v>5</v>
      </c>
      <c r="F88" s="260">
        <v>5</v>
      </c>
      <c r="G88" s="260">
        <v>10</v>
      </c>
      <c r="H88" s="260">
        <v>15</v>
      </c>
      <c r="I88" s="260">
        <v>20</v>
      </c>
      <c r="J88" s="259">
        <v>15</v>
      </c>
      <c r="K88" s="259">
        <v>15</v>
      </c>
      <c r="L88" s="259">
        <v>15</v>
      </c>
      <c r="M88" s="259"/>
      <c r="N88" s="259"/>
      <c r="O88" s="259"/>
      <c r="P88" s="259"/>
      <c r="S88" s="46">
        <f t="shared" si="12"/>
        <v>100</v>
      </c>
    </row>
    <row r="89" spans="1:19" x14ac:dyDescent="0.2">
      <c r="A89" s="257" t="str">
        <f t="shared" si="13"/>
        <v>9|10</v>
      </c>
      <c r="B89" s="258" t="s">
        <v>160</v>
      </c>
      <c r="C89" s="253" t="s">
        <v>153</v>
      </c>
      <c r="D89" s="254"/>
      <c r="E89" s="260">
        <v>10</v>
      </c>
      <c r="F89" s="260">
        <v>15</v>
      </c>
      <c r="G89" s="260">
        <v>20</v>
      </c>
      <c r="H89" s="260">
        <v>20</v>
      </c>
      <c r="I89" s="260">
        <v>20</v>
      </c>
      <c r="J89" s="259">
        <v>10</v>
      </c>
      <c r="K89" s="259">
        <v>5</v>
      </c>
      <c r="L89" s="259"/>
      <c r="M89" s="259"/>
      <c r="N89" s="259"/>
      <c r="O89" s="259"/>
      <c r="P89" s="259"/>
      <c r="S89" s="46">
        <f t="shared" si="12"/>
        <v>100</v>
      </c>
    </row>
    <row r="90" spans="1:19" x14ac:dyDescent="0.2">
      <c r="A90" s="257" t="str">
        <f t="shared" si="13"/>
        <v>9|11</v>
      </c>
      <c r="B90" s="258" t="s">
        <v>164</v>
      </c>
      <c r="C90" s="253" t="s">
        <v>169</v>
      </c>
      <c r="D90" s="254"/>
      <c r="E90" s="260">
        <v>3</v>
      </c>
      <c r="F90" s="260">
        <v>5</v>
      </c>
      <c r="G90" s="260">
        <v>11</v>
      </c>
      <c r="H90" s="260">
        <v>15</v>
      </c>
      <c r="I90" s="260">
        <v>20</v>
      </c>
      <c r="J90" s="259">
        <v>16</v>
      </c>
      <c r="K90" s="259">
        <v>14</v>
      </c>
      <c r="L90" s="259">
        <v>10</v>
      </c>
      <c r="M90" s="259">
        <v>6</v>
      </c>
      <c r="N90" s="259"/>
      <c r="O90" s="259"/>
      <c r="P90" s="259"/>
      <c r="S90" s="46">
        <f t="shared" si="12"/>
        <v>100</v>
      </c>
    </row>
    <row r="91" spans="1:19" ht="5.45" customHeight="1" x14ac:dyDescent="0.2"/>
    <row r="92" spans="1:19" ht="13.5" thickBot="1" x14ac:dyDescent="0.25">
      <c r="A92" s="261" t="s">
        <v>35</v>
      </c>
      <c r="B92" s="262">
        <v>10</v>
      </c>
      <c r="C92" s="263"/>
      <c r="D92" s="264"/>
      <c r="E92" s="250"/>
      <c r="F92" s="250"/>
      <c r="G92" s="250"/>
      <c r="H92" s="250"/>
      <c r="I92" s="250"/>
      <c r="J92" s="250"/>
      <c r="K92" s="250"/>
      <c r="L92" s="250"/>
      <c r="M92" s="250"/>
      <c r="N92" s="250"/>
      <c r="O92" s="250"/>
      <c r="P92" s="250"/>
    </row>
    <row r="93" spans="1:19" ht="13.5" thickTop="1" x14ac:dyDescent="0.2">
      <c r="A93" s="265" t="str">
        <f>CONCATENATE($B$92,"|",B93)</f>
        <v>10|1</v>
      </c>
      <c r="B93" s="252">
        <v>1</v>
      </c>
      <c r="C93" s="253" t="s">
        <v>154</v>
      </c>
      <c r="D93" s="254">
        <v>1</v>
      </c>
      <c r="E93" s="255">
        <v>20</v>
      </c>
      <c r="F93" s="255">
        <v>20</v>
      </c>
      <c r="G93" s="255">
        <v>20</v>
      </c>
      <c r="H93" s="255">
        <v>10</v>
      </c>
      <c r="I93" s="255">
        <v>10</v>
      </c>
      <c r="J93" s="256">
        <v>10</v>
      </c>
      <c r="K93" s="256">
        <v>10</v>
      </c>
      <c r="L93" s="256"/>
      <c r="M93" s="256"/>
      <c r="N93" s="256"/>
      <c r="O93" s="256"/>
      <c r="P93" s="256"/>
      <c r="S93" s="46">
        <f>SUM(E93:P93)</f>
        <v>100</v>
      </c>
    </row>
    <row r="94" spans="1:19" x14ac:dyDescent="0.2">
      <c r="A94" s="257" t="str">
        <f>CONCATENATE($B$92,"|",B94)</f>
        <v>10|2</v>
      </c>
      <c r="B94" s="258" t="s">
        <v>91</v>
      </c>
      <c r="C94" s="253" t="s">
        <v>150</v>
      </c>
      <c r="D94" s="254">
        <v>2</v>
      </c>
      <c r="E94" s="255">
        <v>5</v>
      </c>
      <c r="F94" s="255">
        <v>10</v>
      </c>
      <c r="G94" s="255">
        <v>15</v>
      </c>
      <c r="H94" s="255">
        <v>20</v>
      </c>
      <c r="I94" s="255">
        <v>20</v>
      </c>
      <c r="J94" s="259">
        <v>15</v>
      </c>
      <c r="K94" s="259">
        <v>10</v>
      </c>
      <c r="L94" s="259">
        <v>5</v>
      </c>
      <c r="M94" s="259"/>
      <c r="N94" s="259"/>
      <c r="O94" s="259"/>
      <c r="P94" s="259"/>
      <c r="S94" s="46">
        <f t="shared" ref="S94:S103" si="14">SUM(E94:P94)</f>
        <v>100</v>
      </c>
    </row>
    <row r="95" spans="1:19" x14ac:dyDescent="0.2">
      <c r="A95" s="257" t="str">
        <f t="shared" ref="A95:A103" si="15">CONCATENATE($B$92,"|",B95)</f>
        <v>10|3</v>
      </c>
      <c r="B95" s="258" t="s">
        <v>94</v>
      </c>
      <c r="C95" s="253" t="s">
        <v>155</v>
      </c>
      <c r="D95" s="254">
        <v>3</v>
      </c>
      <c r="E95" s="260"/>
      <c r="F95" s="260">
        <v>5</v>
      </c>
      <c r="G95" s="260">
        <v>10</v>
      </c>
      <c r="H95" s="260">
        <v>15</v>
      </c>
      <c r="I95" s="260">
        <v>15</v>
      </c>
      <c r="J95" s="259">
        <v>15</v>
      </c>
      <c r="K95" s="259">
        <v>15</v>
      </c>
      <c r="L95" s="259">
        <v>15</v>
      </c>
      <c r="M95" s="259">
        <v>10</v>
      </c>
      <c r="N95" s="259"/>
      <c r="O95" s="259"/>
      <c r="P95" s="259"/>
      <c r="S95" s="46">
        <f t="shared" si="14"/>
        <v>100</v>
      </c>
    </row>
    <row r="96" spans="1:19" x14ac:dyDescent="0.2">
      <c r="A96" s="257" t="str">
        <f t="shared" si="15"/>
        <v>10|4</v>
      </c>
      <c r="B96" s="258" t="s">
        <v>95</v>
      </c>
      <c r="C96" s="253" t="s">
        <v>151</v>
      </c>
      <c r="D96" s="254">
        <v>4</v>
      </c>
      <c r="E96" s="260"/>
      <c r="F96" s="260"/>
      <c r="G96" s="260">
        <v>5</v>
      </c>
      <c r="H96" s="260">
        <v>5</v>
      </c>
      <c r="I96" s="260">
        <v>15</v>
      </c>
      <c r="J96" s="259">
        <v>20</v>
      </c>
      <c r="K96" s="259">
        <v>20</v>
      </c>
      <c r="L96" s="259">
        <v>15</v>
      </c>
      <c r="M96" s="259">
        <v>10</v>
      </c>
      <c r="N96" s="259">
        <v>10</v>
      </c>
      <c r="O96" s="259"/>
      <c r="P96" s="259"/>
      <c r="S96" s="46">
        <f t="shared" si="14"/>
        <v>100</v>
      </c>
    </row>
    <row r="97" spans="1:19" x14ac:dyDescent="0.2">
      <c r="A97" s="257" t="str">
        <f t="shared" si="15"/>
        <v>10|5</v>
      </c>
      <c r="B97" s="258" t="s">
        <v>90</v>
      </c>
      <c r="C97" s="253" t="s">
        <v>152</v>
      </c>
      <c r="D97" s="254">
        <v>5</v>
      </c>
      <c r="E97" s="260"/>
      <c r="F97" s="260"/>
      <c r="G97" s="260">
        <v>10</v>
      </c>
      <c r="H97" s="260">
        <v>10</v>
      </c>
      <c r="I97" s="260">
        <v>10</v>
      </c>
      <c r="J97" s="259">
        <v>20</v>
      </c>
      <c r="K97" s="259">
        <v>20</v>
      </c>
      <c r="L97" s="259">
        <v>20</v>
      </c>
      <c r="M97" s="259">
        <v>10</v>
      </c>
      <c r="N97" s="259"/>
      <c r="O97" s="259"/>
      <c r="P97" s="259"/>
      <c r="S97" s="46">
        <f t="shared" si="14"/>
        <v>100</v>
      </c>
    </row>
    <row r="98" spans="1:19" x14ac:dyDescent="0.2">
      <c r="A98" s="257" t="str">
        <f t="shared" si="15"/>
        <v>10|6</v>
      </c>
      <c r="B98" s="258" t="s">
        <v>96</v>
      </c>
      <c r="C98" s="253" t="s">
        <v>298</v>
      </c>
      <c r="D98" s="254">
        <v>3</v>
      </c>
      <c r="E98" s="260"/>
      <c r="F98" s="260"/>
      <c r="G98" s="260"/>
      <c r="H98" s="260">
        <v>5</v>
      </c>
      <c r="I98" s="260">
        <v>10</v>
      </c>
      <c r="J98" s="260">
        <v>15</v>
      </c>
      <c r="K98" s="259">
        <v>20</v>
      </c>
      <c r="L98" s="259">
        <v>20</v>
      </c>
      <c r="M98" s="259">
        <v>15</v>
      </c>
      <c r="N98" s="259">
        <v>15</v>
      </c>
      <c r="O98" s="259"/>
      <c r="P98" s="259"/>
      <c r="S98" s="46">
        <f t="shared" si="14"/>
        <v>100</v>
      </c>
    </row>
    <row r="99" spans="1:19" x14ac:dyDescent="0.2">
      <c r="A99" s="257" t="str">
        <f t="shared" si="15"/>
        <v>10|7</v>
      </c>
      <c r="B99" s="258" t="s">
        <v>149</v>
      </c>
      <c r="C99" s="253" t="s">
        <v>156</v>
      </c>
      <c r="D99" s="254">
        <v>5</v>
      </c>
      <c r="E99" s="260"/>
      <c r="F99" s="260"/>
      <c r="G99" s="260"/>
      <c r="H99" s="260">
        <v>15</v>
      </c>
      <c r="I99" s="260">
        <v>15</v>
      </c>
      <c r="J99" s="259">
        <v>15</v>
      </c>
      <c r="K99" s="259">
        <v>20</v>
      </c>
      <c r="L99" s="259">
        <v>15</v>
      </c>
      <c r="M99" s="259">
        <v>10</v>
      </c>
      <c r="N99" s="259">
        <v>10</v>
      </c>
      <c r="O99" s="259"/>
      <c r="P99" s="259"/>
      <c r="S99" s="46">
        <f t="shared" si="14"/>
        <v>100</v>
      </c>
    </row>
    <row r="100" spans="1:19" x14ac:dyDescent="0.2">
      <c r="A100" s="257" t="str">
        <f t="shared" si="15"/>
        <v>10|8</v>
      </c>
      <c r="B100" s="258" t="s">
        <v>108</v>
      </c>
      <c r="C100" s="253" t="s">
        <v>157</v>
      </c>
      <c r="D100" s="254">
        <v>6</v>
      </c>
      <c r="E100" s="260"/>
      <c r="F100" s="260"/>
      <c r="G100" s="260"/>
      <c r="H100" s="260">
        <v>10</v>
      </c>
      <c r="I100" s="260">
        <v>20</v>
      </c>
      <c r="J100" s="259">
        <v>20</v>
      </c>
      <c r="K100" s="259">
        <v>20</v>
      </c>
      <c r="L100" s="259">
        <v>10</v>
      </c>
      <c r="M100" s="259">
        <v>10</v>
      </c>
      <c r="N100" s="259">
        <v>10</v>
      </c>
      <c r="O100" s="259"/>
      <c r="P100" s="259"/>
      <c r="S100" s="46">
        <f t="shared" si="14"/>
        <v>100</v>
      </c>
    </row>
    <row r="101" spans="1:19" x14ac:dyDescent="0.2">
      <c r="A101" s="257" t="str">
        <f t="shared" si="15"/>
        <v>10|9</v>
      </c>
      <c r="B101" s="258" t="s">
        <v>158</v>
      </c>
      <c r="C101" s="253" t="s">
        <v>159</v>
      </c>
      <c r="D101" s="254">
        <v>6</v>
      </c>
      <c r="E101" s="260">
        <v>5</v>
      </c>
      <c r="F101" s="260">
        <v>5</v>
      </c>
      <c r="G101" s="260">
        <v>10</v>
      </c>
      <c r="H101" s="260">
        <v>10</v>
      </c>
      <c r="I101" s="260">
        <v>10</v>
      </c>
      <c r="J101" s="259">
        <v>15</v>
      </c>
      <c r="K101" s="259">
        <v>15</v>
      </c>
      <c r="L101" s="259">
        <v>10</v>
      </c>
      <c r="M101" s="259">
        <v>10</v>
      </c>
      <c r="N101" s="259">
        <v>10</v>
      </c>
      <c r="O101" s="259"/>
      <c r="P101" s="259"/>
      <c r="S101" s="46">
        <f t="shared" si="14"/>
        <v>100</v>
      </c>
    </row>
    <row r="102" spans="1:19" x14ac:dyDescent="0.2">
      <c r="A102" s="257" t="str">
        <f t="shared" si="15"/>
        <v>10|10</v>
      </c>
      <c r="B102" s="258" t="s">
        <v>160</v>
      </c>
      <c r="C102" s="253" t="s">
        <v>153</v>
      </c>
      <c r="D102" s="254"/>
      <c r="E102" s="260">
        <v>10</v>
      </c>
      <c r="F102" s="260">
        <v>15</v>
      </c>
      <c r="G102" s="260">
        <v>15</v>
      </c>
      <c r="H102" s="260">
        <v>15</v>
      </c>
      <c r="I102" s="260">
        <v>15</v>
      </c>
      <c r="J102" s="259">
        <v>15</v>
      </c>
      <c r="K102" s="259">
        <v>10</v>
      </c>
      <c r="L102" s="259">
        <v>5</v>
      </c>
      <c r="M102" s="259"/>
      <c r="N102" s="259"/>
      <c r="O102" s="259"/>
      <c r="P102" s="259"/>
      <c r="S102" s="46">
        <f t="shared" si="14"/>
        <v>100</v>
      </c>
    </row>
    <row r="103" spans="1:19" x14ac:dyDescent="0.2">
      <c r="A103" s="257" t="str">
        <f t="shared" si="15"/>
        <v>10|11</v>
      </c>
      <c r="B103" s="258" t="s">
        <v>164</v>
      </c>
      <c r="C103" s="253" t="s">
        <v>169</v>
      </c>
      <c r="D103" s="254"/>
      <c r="E103" s="260">
        <v>2</v>
      </c>
      <c r="F103" s="260">
        <v>2</v>
      </c>
      <c r="G103" s="260">
        <v>14</v>
      </c>
      <c r="H103" s="260">
        <v>14</v>
      </c>
      <c r="I103" s="260">
        <v>15</v>
      </c>
      <c r="J103" s="259">
        <v>15</v>
      </c>
      <c r="K103" s="259">
        <v>15</v>
      </c>
      <c r="L103" s="259">
        <v>15</v>
      </c>
      <c r="M103" s="259">
        <v>5</v>
      </c>
      <c r="N103" s="259">
        <v>3</v>
      </c>
      <c r="O103" s="259"/>
      <c r="P103" s="259"/>
      <c r="S103" s="46">
        <f t="shared" si="14"/>
        <v>100</v>
      </c>
    </row>
    <row r="104" spans="1:19" ht="5.45" customHeight="1" x14ac:dyDescent="0.2"/>
    <row r="105" spans="1:19" ht="13.5" thickBot="1" x14ac:dyDescent="0.25">
      <c r="A105" s="261" t="s">
        <v>35</v>
      </c>
      <c r="B105" s="262">
        <v>11</v>
      </c>
      <c r="C105" s="263"/>
      <c r="D105" s="264"/>
      <c r="E105" s="250"/>
      <c r="F105" s="250"/>
      <c r="G105" s="250"/>
      <c r="H105" s="250"/>
      <c r="I105" s="250"/>
      <c r="J105" s="250"/>
      <c r="K105" s="250"/>
      <c r="L105" s="250"/>
      <c r="M105" s="250"/>
      <c r="N105" s="250"/>
      <c r="O105" s="250"/>
      <c r="P105" s="250"/>
    </row>
    <row r="106" spans="1:19" ht="13.5" thickTop="1" x14ac:dyDescent="0.2">
      <c r="A106" s="265" t="str">
        <f>CONCATENATE($B$105,"|",B106)</f>
        <v>11|1</v>
      </c>
      <c r="B106" s="252">
        <v>1</v>
      </c>
      <c r="C106" s="253" t="s">
        <v>154</v>
      </c>
      <c r="D106" s="254">
        <v>1</v>
      </c>
      <c r="E106" s="255">
        <v>10</v>
      </c>
      <c r="F106" s="255">
        <v>20</v>
      </c>
      <c r="G106" s="255">
        <v>20</v>
      </c>
      <c r="H106" s="255">
        <v>20</v>
      </c>
      <c r="I106" s="255">
        <v>10</v>
      </c>
      <c r="J106" s="256">
        <v>10</v>
      </c>
      <c r="K106" s="256">
        <v>10</v>
      </c>
      <c r="L106" s="256"/>
      <c r="M106" s="256"/>
      <c r="N106" s="256"/>
      <c r="O106" s="256"/>
      <c r="P106" s="256"/>
      <c r="S106" s="46">
        <f>SUM(E106:P106)</f>
        <v>100</v>
      </c>
    </row>
    <row r="107" spans="1:19" x14ac:dyDescent="0.2">
      <c r="A107" s="257" t="str">
        <f>CONCATENATE($B$105,"|",B107)</f>
        <v>11|2</v>
      </c>
      <c r="B107" s="258" t="s">
        <v>91</v>
      </c>
      <c r="C107" s="253" t="s">
        <v>150</v>
      </c>
      <c r="D107" s="254">
        <v>2</v>
      </c>
      <c r="E107" s="255">
        <v>5</v>
      </c>
      <c r="F107" s="255">
        <v>10</v>
      </c>
      <c r="G107" s="255">
        <v>10</v>
      </c>
      <c r="H107" s="255">
        <v>15</v>
      </c>
      <c r="I107" s="255">
        <v>15</v>
      </c>
      <c r="J107" s="259">
        <v>15</v>
      </c>
      <c r="K107" s="259">
        <v>15</v>
      </c>
      <c r="L107" s="259">
        <v>10</v>
      </c>
      <c r="M107" s="259">
        <v>5</v>
      </c>
      <c r="N107" s="259"/>
      <c r="O107" s="259"/>
      <c r="P107" s="259"/>
      <c r="S107" s="46">
        <f t="shared" ref="S107:S116" si="16">SUM(E107:P107)</f>
        <v>100</v>
      </c>
    </row>
    <row r="108" spans="1:19" x14ac:dyDescent="0.2">
      <c r="A108" s="257" t="str">
        <f t="shared" ref="A108:A116" si="17">CONCATENATE($B$105,"|",B108)</f>
        <v>11|3</v>
      </c>
      <c r="B108" s="258" t="s">
        <v>94</v>
      </c>
      <c r="C108" s="253" t="s">
        <v>155</v>
      </c>
      <c r="D108" s="254">
        <v>3</v>
      </c>
      <c r="E108" s="260"/>
      <c r="F108" s="260">
        <v>5</v>
      </c>
      <c r="G108" s="260">
        <v>10</v>
      </c>
      <c r="H108" s="260">
        <v>10</v>
      </c>
      <c r="I108" s="260">
        <v>15</v>
      </c>
      <c r="J108" s="259">
        <v>15</v>
      </c>
      <c r="K108" s="259">
        <v>15</v>
      </c>
      <c r="L108" s="259">
        <v>10</v>
      </c>
      <c r="M108" s="259">
        <v>10</v>
      </c>
      <c r="N108" s="259">
        <v>10</v>
      </c>
      <c r="O108" s="259"/>
      <c r="P108" s="259"/>
      <c r="S108" s="46">
        <f t="shared" si="16"/>
        <v>100</v>
      </c>
    </row>
    <row r="109" spans="1:19" x14ac:dyDescent="0.2">
      <c r="A109" s="257" t="str">
        <f t="shared" si="17"/>
        <v>11|4</v>
      </c>
      <c r="B109" s="258" t="s">
        <v>95</v>
      </c>
      <c r="C109" s="253" t="s">
        <v>151</v>
      </c>
      <c r="D109" s="254">
        <v>4</v>
      </c>
      <c r="E109" s="260"/>
      <c r="F109" s="260"/>
      <c r="G109" s="260">
        <v>5</v>
      </c>
      <c r="H109" s="260">
        <v>10</v>
      </c>
      <c r="I109" s="260">
        <v>10</v>
      </c>
      <c r="J109" s="259">
        <v>15</v>
      </c>
      <c r="K109" s="259">
        <v>15</v>
      </c>
      <c r="L109" s="259">
        <v>15</v>
      </c>
      <c r="M109" s="259">
        <v>10</v>
      </c>
      <c r="N109" s="259">
        <v>10</v>
      </c>
      <c r="O109" s="259">
        <v>10</v>
      </c>
      <c r="P109" s="259"/>
      <c r="S109" s="46">
        <f t="shared" si="16"/>
        <v>100</v>
      </c>
    </row>
    <row r="110" spans="1:19" x14ac:dyDescent="0.2">
      <c r="A110" s="257" t="str">
        <f t="shared" si="17"/>
        <v>11|5</v>
      </c>
      <c r="B110" s="258" t="s">
        <v>90</v>
      </c>
      <c r="C110" s="253" t="s">
        <v>152</v>
      </c>
      <c r="D110" s="254">
        <v>5</v>
      </c>
      <c r="E110" s="260"/>
      <c r="F110" s="260"/>
      <c r="G110" s="260">
        <v>10</v>
      </c>
      <c r="H110" s="260">
        <v>10</v>
      </c>
      <c r="I110" s="260">
        <v>10</v>
      </c>
      <c r="J110" s="259">
        <v>15</v>
      </c>
      <c r="K110" s="259">
        <v>15</v>
      </c>
      <c r="L110" s="259">
        <v>15</v>
      </c>
      <c r="M110" s="259">
        <v>15</v>
      </c>
      <c r="N110" s="259">
        <v>10</v>
      </c>
      <c r="O110" s="259"/>
      <c r="P110" s="259"/>
      <c r="S110" s="46">
        <f t="shared" si="16"/>
        <v>100</v>
      </c>
    </row>
    <row r="111" spans="1:19" x14ac:dyDescent="0.2">
      <c r="A111" s="257" t="str">
        <f t="shared" si="17"/>
        <v>11|6</v>
      </c>
      <c r="B111" s="258" t="s">
        <v>96</v>
      </c>
      <c r="C111" s="253" t="s">
        <v>298</v>
      </c>
      <c r="D111" s="254">
        <v>3</v>
      </c>
      <c r="E111" s="260"/>
      <c r="F111" s="260"/>
      <c r="G111" s="260"/>
      <c r="H111" s="260">
        <v>5</v>
      </c>
      <c r="I111" s="260">
        <v>10</v>
      </c>
      <c r="J111" s="260">
        <v>15</v>
      </c>
      <c r="K111" s="259">
        <v>15</v>
      </c>
      <c r="L111" s="259">
        <v>15</v>
      </c>
      <c r="M111" s="259">
        <v>15</v>
      </c>
      <c r="N111" s="259">
        <v>15</v>
      </c>
      <c r="O111" s="259">
        <v>10</v>
      </c>
      <c r="P111" s="259"/>
      <c r="S111" s="46">
        <f t="shared" si="16"/>
        <v>100</v>
      </c>
    </row>
    <row r="112" spans="1:19" x14ac:dyDescent="0.2">
      <c r="A112" s="257" t="str">
        <f t="shared" si="17"/>
        <v>11|7</v>
      </c>
      <c r="B112" s="258" t="s">
        <v>149</v>
      </c>
      <c r="C112" s="253" t="s">
        <v>156</v>
      </c>
      <c r="D112" s="254">
        <v>5</v>
      </c>
      <c r="E112" s="260"/>
      <c r="F112" s="260"/>
      <c r="G112" s="260"/>
      <c r="H112" s="260">
        <v>10</v>
      </c>
      <c r="I112" s="260">
        <v>10</v>
      </c>
      <c r="J112" s="259">
        <v>15</v>
      </c>
      <c r="K112" s="259">
        <v>20</v>
      </c>
      <c r="L112" s="259">
        <v>15</v>
      </c>
      <c r="M112" s="259">
        <v>10</v>
      </c>
      <c r="N112" s="259">
        <v>10</v>
      </c>
      <c r="O112" s="259">
        <v>10</v>
      </c>
      <c r="P112" s="259"/>
      <c r="S112" s="46">
        <f t="shared" si="16"/>
        <v>100</v>
      </c>
    </row>
    <row r="113" spans="1:19" x14ac:dyDescent="0.2">
      <c r="A113" s="257" t="str">
        <f t="shared" si="17"/>
        <v>11|8</v>
      </c>
      <c r="B113" s="258" t="s">
        <v>108</v>
      </c>
      <c r="C113" s="253" t="s">
        <v>157</v>
      </c>
      <c r="D113" s="254">
        <v>6</v>
      </c>
      <c r="E113" s="260"/>
      <c r="F113" s="260"/>
      <c r="G113" s="260"/>
      <c r="H113" s="260">
        <v>10</v>
      </c>
      <c r="I113" s="260">
        <v>10</v>
      </c>
      <c r="J113" s="259">
        <v>20</v>
      </c>
      <c r="K113" s="259">
        <v>20</v>
      </c>
      <c r="L113" s="259">
        <v>10</v>
      </c>
      <c r="M113" s="259">
        <v>10</v>
      </c>
      <c r="N113" s="259">
        <v>10</v>
      </c>
      <c r="O113" s="259">
        <v>10</v>
      </c>
      <c r="P113" s="259"/>
      <c r="S113" s="46">
        <f t="shared" si="16"/>
        <v>100</v>
      </c>
    </row>
    <row r="114" spans="1:19" x14ac:dyDescent="0.2">
      <c r="A114" s="257" t="str">
        <f t="shared" si="17"/>
        <v>11|9</v>
      </c>
      <c r="B114" s="258" t="s">
        <v>158</v>
      </c>
      <c r="C114" s="253" t="s">
        <v>159</v>
      </c>
      <c r="D114" s="254">
        <v>6</v>
      </c>
      <c r="E114" s="260">
        <v>5</v>
      </c>
      <c r="F114" s="260">
        <v>5</v>
      </c>
      <c r="G114" s="260">
        <v>10</v>
      </c>
      <c r="H114" s="260">
        <v>10</v>
      </c>
      <c r="I114" s="260">
        <v>10</v>
      </c>
      <c r="J114" s="259">
        <v>10</v>
      </c>
      <c r="K114" s="259">
        <v>10</v>
      </c>
      <c r="L114" s="259">
        <v>10</v>
      </c>
      <c r="M114" s="259">
        <v>10</v>
      </c>
      <c r="N114" s="259">
        <v>10</v>
      </c>
      <c r="O114" s="259">
        <v>10</v>
      </c>
      <c r="P114" s="259"/>
      <c r="S114" s="46">
        <f t="shared" si="16"/>
        <v>100</v>
      </c>
    </row>
    <row r="115" spans="1:19" x14ac:dyDescent="0.2">
      <c r="A115" s="257" t="str">
        <f t="shared" si="17"/>
        <v>11|10</v>
      </c>
      <c r="B115" s="258" t="s">
        <v>160</v>
      </c>
      <c r="C115" s="253" t="s">
        <v>153</v>
      </c>
      <c r="D115" s="254"/>
      <c r="E115" s="260">
        <v>10</v>
      </c>
      <c r="F115" s="260">
        <v>10</v>
      </c>
      <c r="G115" s="260">
        <v>15</v>
      </c>
      <c r="H115" s="260">
        <v>15</v>
      </c>
      <c r="I115" s="260">
        <v>15</v>
      </c>
      <c r="J115" s="259">
        <v>10</v>
      </c>
      <c r="K115" s="259">
        <v>10</v>
      </c>
      <c r="L115" s="259">
        <v>10</v>
      </c>
      <c r="M115" s="259">
        <v>5</v>
      </c>
      <c r="N115" s="259"/>
      <c r="O115" s="259"/>
      <c r="P115" s="259"/>
      <c r="S115" s="46">
        <f t="shared" si="16"/>
        <v>100</v>
      </c>
    </row>
    <row r="116" spans="1:19" x14ac:dyDescent="0.2">
      <c r="A116" s="257" t="str">
        <f t="shared" si="17"/>
        <v>11|11</v>
      </c>
      <c r="B116" s="258" t="s">
        <v>164</v>
      </c>
      <c r="C116" s="253" t="s">
        <v>169</v>
      </c>
      <c r="D116" s="254"/>
      <c r="E116" s="260">
        <v>1</v>
      </c>
      <c r="F116" s="260">
        <v>1</v>
      </c>
      <c r="G116" s="260">
        <v>10</v>
      </c>
      <c r="H116" s="260">
        <v>15</v>
      </c>
      <c r="I116" s="260">
        <v>15</v>
      </c>
      <c r="J116" s="259">
        <v>15</v>
      </c>
      <c r="K116" s="259">
        <v>15</v>
      </c>
      <c r="L116" s="259">
        <v>15</v>
      </c>
      <c r="M116" s="259">
        <v>5</v>
      </c>
      <c r="N116" s="259">
        <v>3</v>
      </c>
      <c r="O116" s="259">
        <v>5</v>
      </c>
      <c r="P116" s="259"/>
      <c r="S116" s="46">
        <f t="shared" si="16"/>
        <v>100</v>
      </c>
    </row>
    <row r="117" spans="1:19" ht="5.45" customHeight="1" x14ac:dyDescent="0.2"/>
    <row r="118" spans="1:19" ht="13.5" thickBot="1" x14ac:dyDescent="0.25">
      <c r="A118" s="261" t="s">
        <v>35</v>
      </c>
      <c r="B118" s="262">
        <v>12</v>
      </c>
      <c r="C118" s="263"/>
      <c r="D118" s="264"/>
      <c r="E118" s="250"/>
      <c r="F118" s="250"/>
      <c r="G118" s="250"/>
      <c r="H118" s="250"/>
      <c r="I118" s="250"/>
      <c r="J118" s="250"/>
      <c r="K118" s="250"/>
      <c r="L118" s="250"/>
      <c r="M118" s="250"/>
      <c r="N118" s="250"/>
      <c r="O118" s="250"/>
      <c r="P118" s="250"/>
    </row>
    <row r="119" spans="1:19" ht="13.5" thickTop="1" x14ac:dyDescent="0.2">
      <c r="A119" s="265" t="str">
        <f>CONCATENATE($B$118,"|",B119)</f>
        <v>12|1</v>
      </c>
      <c r="B119" s="252">
        <v>1</v>
      </c>
      <c r="C119" s="253" t="s">
        <v>154</v>
      </c>
      <c r="D119" s="254">
        <v>1</v>
      </c>
      <c r="E119" s="255">
        <v>10</v>
      </c>
      <c r="F119" s="255">
        <v>20</v>
      </c>
      <c r="G119" s="255">
        <v>20</v>
      </c>
      <c r="H119" s="255">
        <v>20</v>
      </c>
      <c r="I119" s="255">
        <v>10</v>
      </c>
      <c r="J119" s="256">
        <v>10</v>
      </c>
      <c r="K119" s="256">
        <v>10</v>
      </c>
      <c r="L119" s="256"/>
      <c r="M119" s="256"/>
      <c r="N119" s="256"/>
      <c r="O119" s="256"/>
      <c r="P119" s="256"/>
      <c r="S119" s="46">
        <f>SUM(E119:P119)</f>
        <v>100</v>
      </c>
    </row>
    <row r="120" spans="1:19" x14ac:dyDescent="0.2">
      <c r="A120" s="257" t="str">
        <f>CONCATENATE($B$118,"|",B120)</f>
        <v>12|2</v>
      </c>
      <c r="B120" s="258" t="s">
        <v>91</v>
      </c>
      <c r="C120" s="253" t="s">
        <v>150</v>
      </c>
      <c r="D120" s="254">
        <v>2</v>
      </c>
      <c r="E120" s="255">
        <v>5</v>
      </c>
      <c r="F120" s="255">
        <v>10</v>
      </c>
      <c r="G120" s="255">
        <v>10</v>
      </c>
      <c r="H120" s="255">
        <v>15</v>
      </c>
      <c r="I120" s="255">
        <v>15</v>
      </c>
      <c r="J120" s="259">
        <v>15</v>
      </c>
      <c r="K120" s="259">
        <v>10</v>
      </c>
      <c r="L120" s="259">
        <v>10</v>
      </c>
      <c r="M120" s="259">
        <v>10</v>
      </c>
      <c r="N120" s="259"/>
      <c r="O120" s="259"/>
      <c r="P120" s="259"/>
      <c r="S120" s="46">
        <f t="shared" ref="S120:S129" si="18">SUM(E120:P120)</f>
        <v>100</v>
      </c>
    </row>
    <row r="121" spans="1:19" x14ac:dyDescent="0.2">
      <c r="A121" s="257" t="str">
        <f t="shared" ref="A121:A129" si="19">CONCATENATE($B$118,"|",B121)</f>
        <v>12|3</v>
      </c>
      <c r="B121" s="258" t="s">
        <v>94</v>
      </c>
      <c r="C121" s="253" t="s">
        <v>155</v>
      </c>
      <c r="D121" s="254">
        <v>3</v>
      </c>
      <c r="E121" s="260"/>
      <c r="F121" s="260">
        <v>5</v>
      </c>
      <c r="G121" s="260">
        <v>10</v>
      </c>
      <c r="H121" s="260">
        <v>10</v>
      </c>
      <c r="I121" s="260">
        <v>10</v>
      </c>
      <c r="J121" s="259">
        <v>15</v>
      </c>
      <c r="K121" s="259">
        <v>15</v>
      </c>
      <c r="L121" s="259">
        <v>10</v>
      </c>
      <c r="M121" s="259">
        <v>10</v>
      </c>
      <c r="N121" s="259">
        <v>10</v>
      </c>
      <c r="O121" s="259">
        <v>5</v>
      </c>
      <c r="P121" s="259"/>
      <c r="S121" s="46">
        <f t="shared" si="18"/>
        <v>100</v>
      </c>
    </row>
    <row r="122" spans="1:19" x14ac:dyDescent="0.2">
      <c r="A122" s="257" t="str">
        <f t="shared" si="19"/>
        <v>12|4</v>
      </c>
      <c r="B122" s="258" t="s">
        <v>95</v>
      </c>
      <c r="C122" s="253" t="s">
        <v>151</v>
      </c>
      <c r="D122" s="254">
        <v>4</v>
      </c>
      <c r="E122" s="260"/>
      <c r="F122" s="260"/>
      <c r="G122" s="260">
        <v>5</v>
      </c>
      <c r="H122" s="260">
        <v>10</v>
      </c>
      <c r="I122" s="260">
        <v>10</v>
      </c>
      <c r="J122" s="259">
        <v>10</v>
      </c>
      <c r="K122" s="259">
        <v>10</v>
      </c>
      <c r="L122" s="259">
        <v>15</v>
      </c>
      <c r="M122" s="259">
        <v>10</v>
      </c>
      <c r="N122" s="259">
        <v>15</v>
      </c>
      <c r="O122" s="259">
        <v>10</v>
      </c>
      <c r="P122" s="259">
        <v>5</v>
      </c>
      <c r="S122" s="46">
        <f t="shared" si="18"/>
        <v>100</v>
      </c>
    </row>
    <row r="123" spans="1:19" x14ac:dyDescent="0.2">
      <c r="A123" s="257" t="str">
        <f t="shared" si="19"/>
        <v>12|5</v>
      </c>
      <c r="B123" s="258" t="s">
        <v>90</v>
      </c>
      <c r="C123" s="253" t="s">
        <v>152</v>
      </c>
      <c r="D123" s="254">
        <v>5</v>
      </c>
      <c r="E123" s="260"/>
      <c r="F123" s="260"/>
      <c r="G123" s="260">
        <v>10</v>
      </c>
      <c r="H123" s="260">
        <v>10</v>
      </c>
      <c r="I123" s="260">
        <v>10</v>
      </c>
      <c r="J123" s="259">
        <v>10</v>
      </c>
      <c r="K123" s="259">
        <v>10</v>
      </c>
      <c r="L123" s="259">
        <v>15</v>
      </c>
      <c r="M123" s="259">
        <v>15</v>
      </c>
      <c r="N123" s="259">
        <v>10</v>
      </c>
      <c r="O123" s="259">
        <v>10</v>
      </c>
      <c r="P123" s="259"/>
      <c r="S123" s="46">
        <f t="shared" si="18"/>
        <v>100</v>
      </c>
    </row>
    <row r="124" spans="1:19" x14ac:dyDescent="0.2">
      <c r="A124" s="257" t="str">
        <f t="shared" si="19"/>
        <v>12|6</v>
      </c>
      <c r="B124" s="258" t="s">
        <v>96</v>
      </c>
      <c r="C124" s="253" t="s">
        <v>298</v>
      </c>
      <c r="D124" s="254">
        <v>3</v>
      </c>
      <c r="E124" s="260"/>
      <c r="F124" s="260"/>
      <c r="G124" s="260"/>
      <c r="H124" s="260">
        <v>5</v>
      </c>
      <c r="I124" s="260">
        <v>10</v>
      </c>
      <c r="J124" s="260">
        <v>10</v>
      </c>
      <c r="K124" s="259">
        <v>10</v>
      </c>
      <c r="L124" s="259">
        <v>15</v>
      </c>
      <c r="M124" s="259">
        <v>15</v>
      </c>
      <c r="N124" s="259">
        <v>15</v>
      </c>
      <c r="O124" s="259">
        <v>10</v>
      </c>
      <c r="P124" s="259">
        <v>10</v>
      </c>
      <c r="S124" s="46">
        <f t="shared" si="18"/>
        <v>100</v>
      </c>
    </row>
    <row r="125" spans="1:19" x14ac:dyDescent="0.2">
      <c r="A125" s="257" t="str">
        <f t="shared" si="19"/>
        <v>12|7</v>
      </c>
      <c r="B125" s="258" t="s">
        <v>149</v>
      </c>
      <c r="C125" s="253" t="s">
        <v>156</v>
      </c>
      <c r="D125" s="254">
        <v>5</v>
      </c>
      <c r="E125" s="260"/>
      <c r="F125" s="260"/>
      <c r="G125" s="260"/>
      <c r="H125" s="260">
        <v>5</v>
      </c>
      <c r="I125" s="260">
        <v>10</v>
      </c>
      <c r="J125" s="259">
        <v>10</v>
      </c>
      <c r="K125" s="259">
        <v>15</v>
      </c>
      <c r="L125" s="259">
        <v>15</v>
      </c>
      <c r="M125" s="259">
        <v>15</v>
      </c>
      <c r="N125" s="259">
        <v>10</v>
      </c>
      <c r="O125" s="259">
        <v>10</v>
      </c>
      <c r="P125" s="259">
        <v>10</v>
      </c>
      <c r="S125" s="46">
        <f t="shared" si="18"/>
        <v>100</v>
      </c>
    </row>
    <row r="126" spans="1:19" x14ac:dyDescent="0.2">
      <c r="A126" s="257" t="str">
        <f t="shared" si="19"/>
        <v>12|8</v>
      </c>
      <c r="B126" s="258" t="s">
        <v>108</v>
      </c>
      <c r="C126" s="253" t="s">
        <v>157</v>
      </c>
      <c r="D126" s="254">
        <v>6</v>
      </c>
      <c r="E126" s="260"/>
      <c r="F126" s="260"/>
      <c r="G126" s="260"/>
      <c r="H126" s="260">
        <v>10</v>
      </c>
      <c r="I126" s="260">
        <v>10</v>
      </c>
      <c r="J126" s="259">
        <v>10</v>
      </c>
      <c r="K126" s="259">
        <v>20</v>
      </c>
      <c r="L126" s="259">
        <v>10</v>
      </c>
      <c r="M126" s="259">
        <v>10</v>
      </c>
      <c r="N126" s="259">
        <v>10</v>
      </c>
      <c r="O126" s="259">
        <v>10</v>
      </c>
      <c r="P126" s="259">
        <v>10</v>
      </c>
      <c r="S126" s="46">
        <f t="shared" si="18"/>
        <v>100</v>
      </c>
    </row>
    <row r="127" spans="1:19" x14ac:dyDescent="0.2">
      <c r="A127" s="257" t="str">
        <f t="shared" si="19"/>
        <v>12|9</v>
      </c>
      <c r="B127" s="258" t="s">
        <v>158</v>
      </c>
      <c r="C127" s="253" t="s">
        <v>159</v>
      </c>
      <c r="D127" s="254">
        <v>6</v>
      </c>
      <c r="E127" s="260">
        <v>5</v>
      </c>
      <c r="F127" s="260">
        <v>5</v>
      </c>
      <c r="G127" s="260">
        <v>5</v>
      </c>
      <c r="H127" s="260">
        <v>5</v>
      </c>
      <c r="I127" s="260">
        <v>10</v>
      </c>
      <c r="J127" s="259">
        <v>10</v>
      </c>
      <c r="K127" s="259">
        <v>10</v>
      </c>
      <c r="L127" s="259">
        <v>10</v>
      </c>
      <c r="M127" s="259">
        <v>10</v>
      </c>
      <c r="N127" s="259">
        <v>10</v>
      </c>
      <c r="O127" s="259">
        <v>10</v>
      </c>
      <c r="P127" s="259">
        <v>10</v>
      </c>
      <c r="S127" s="46">
        <f t="shared" si="18"/>
        <v>100</v>
      </c>
    </row>
    <row r="128" spans="1:19" x14ac:dyDescent="0.2">
      <c r="A128" s="257" t="str">
        <f t="shared" si="19"/>
        <v>12|10</v>
      </c>
      <c r="B128" s="258" t="s">
        <v>160</v>
      </c>
      <c r="C128" s="253" t="s">
        <v>153</v>
      </c>
      <c r="D128" s="254"/>
      <c r="E128" s="260">
        <v>10</v>
      </c>
      <c r="F128" s="260">
        <v>15</v>
      </c>
      <c r="G128" s="260">
        <v>10</v>
      </c>
      <c r="H128" s="260">
        <v>10</v>
      </c>
      <c r="I128" s="260">
        <v>10</v>
      </c>
      <c r="J128" s="259">
        <v>10</v>
      </c>
      <c r="K128" s="259">
        <v>10</v>
      </c>
      <c r="L128" s="259">
        <v>10</v>
      </c>
      <c r="M128" s="259">
        <v>10</v>
      </c>
      <c r="N128" s="259">
        <v>5</v>
      </c>
      <c r="O128" s="259"/>
      <c r="P128" s="259"/>
      <c r="S128" s="46">
        <f t="shared" si="18"/>
        <v>100</v>
      </c>
    </row>
    <row r="129" spans="1:19" x14ac:dyDescent="0.2">
      <c r="A129" s="257" t="str">
        <f t="shared" si="19"/>
        <v>12|11</v>
      </c>
      <c r="B129" s="258" t="s">
        <v>164</v>
      </c>
      <c r="C129" s="253" t="s">
        <v>169</v>
      </c>
      <c r="D129" s="254"/>
      <c r="E129" s="260">
        <v>1</v>
      </c>
      <c r="F129" s="260">
        <v>1</v>
      </c>
      <c r="G129" s="260">
        <v>10</v>
      </c>
      <c r="H129" s="260">
        <v>10</v>
      </c>
      <c r="I129" s="260">
        <v>15</v>
      </c>
      <c r="J129" s="259">
        <v>15</v>
      </c>
      <c r="K129" s="259">
        <v>15</v>
      </c>
      <c r="L129" s="259">
        <v>15</v>
      </c>
      <c r="M129" s="259">
        <v>5</v>
      </c>
      <c r="N129" s="259">
        <v>3</v>
      </c>
      <c r="O129" s="259">
        <v>5</v>
      </c>
      <c r="P129" s="259">
        <v>5</v>
      </c>
      <c r="S129" s="46">
        <f t="shared" si="18"/>
        <v>100</v>
      </c>
    </row>
    <row r="131" spans="1:19" x14ac:dyDescent="0.2">
      <c r="S131" s="46">
        <f>SUM(S2:S129)</f>
        <v>11000</v>
      </c>
    </row>
  </sheetData>
  <sheetProtection sheet="1" objects="1" scenarios="1"/>
  <printOptions horizontalCentered="1" verticalCentered="1"/>
  <pageMargins left="0.78740157480314965" right="0.78740157480314965" top="0.98425196850393704" bottom="0.59055118110236227" header="0.51181102362204722" footer="0.51181102362204722"/>
  <pageSetup paperSize="8" scale="9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4"/>
  <sheetViews>
    <sheetView showZeros="0" zoomScale="60" zoomScaleNormal="60" workbookViewId="0">
      <selection activeCell="J3" sqref="J3"/>
    </sheetView>
  </sheetViews>
  <sheetFormatPr defaultColWidth="12" defaultRowHeight="11.25" x14ac:dyDescent="0.2"/>
  <cols>
    <col min="1" max="1" width="15.83203125" style="2" bestFit="1" customWidth="1"/>
    <col min="2" max="2" width="15.83203125" style="2" customWidth="1"/>
    <col min="3" max="3" width="59.6640625" style="2" customWidth="1"/>
    <col min="4" max="4" width="0.6640625" style="2" customWidth="1"/>
    <col min="5" max="5" width="15.1640625" style="2" customWidth="1"/>
    <col min="6" max="6" width="15.83203125" style="2" customWidth="1"/>
    <col min="7" max="7" width="12.6640625" style="2" customWidth="1"/>
    <col min="8" max="8" width="17.83203125" style="2" customWidth="1"/>
    <col min="9" max="9" width="12.83203125" style="2" bestFit="1" customWidth="1"/>
    <col min="10" max="10" width="16.1640625" style="2" bestFit="1" customWidth="1"/>
    <col min="11" max="11" width="8.1640625" style="2" customWidth="1"/>
    <col min="12" max="12" width="13.83203125" style="2" customWidth="1"/>
    <col min="13" max="13" width="13.5" style="2" customWidth="1"/>
    <col min="14" max="14" width="25.1640625" style="2" customWidth="1"/>
    <col min="15" max="15" width="21.5" style="2" customWidth="1"/>
    <col min="16" max="16" width="3.83203125" style="2" customWidth="1"/>
    <col min="17" max="17" width="18" style="2" customWidth="1"/>
    <col min="18" max="18" width="15.5" style="2" customWidth="1"/>
    <col min="19" max="19" width="14.6640625" style="2" customWidth="1"/>
    <col min="20" max="20" width="25.1640625" style="2" customWidth="1"/>
    <col min="21" max="23" width="23.1640625" style="2" customWidth="1"/>
    <col min="24" max="24" width="4.6640625" style="2" customWidth="1"/>
    <col min="25" max="25" width="19.5" style="2" customWidth="1"/>
    <col min="26" max="26" width="20.1640625" style="2" customWidth="1"/>
    <col min="27" max="16384" width="12" style="2"/>
  </cols>
  <sheetData>
    <row r="1" spans="1:24" ht="17.100000000000001" customHeight="1" thickBot="1" x14ac:dyDescent="0.3">
      <c r="A1" s="4"/>
      <c r="B1" s="4"/>
      <c r="C1" s="10"/>
      <c r="D1" s="10"/>
      <c r="E1" s="6"/>
      <c r="F1" s="8"/>
      <c r="G1" s="8"/>
      <c r="H1" s="6"/>
      <c r="I1" s="6"/>
      <c r="J1" s="6"/>
      <c r="K1" s="11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8"/>
    </row>
    <row r="2" spans="1:24" ht="70.5" customHeight="1" thickBot="1" x14ac:dyDescent="0.3">
      <c r="A2" s="12" t="s">
        <v>78</v>
      </c>
      <c r="B2" s="34"/>
      <c r="C2" s="13" t="s">
        <v>11</v>
      </c>
      <c r="D2" s="14"/>
      <c r="E2" s="15" t="s">
        <v>12</v>
      </c>
      <c r="F2" s="16" t="s">
        <v>13</v>
      </c>
      <c r="G2" s="16" t="s">
        <v>14</v>
      </c>
      <c r="H2" s="17" t="s">
        <v>15</v>
      </c>
      <c r="I2" s="19" t="s">
        <v>227</v>
      </c>
      <c r="J2" s="18" t="s">
        <v>16</v>
      </c>
      <c r="K2" s="19" t="s">
        <v>170</v>
      </c>
      <c r="L2" s="20" t="s">
        <v>17</v>
      </c>
      <c r="M2" s="12" t="s">
        <v>77</v>
      </c>
      <c r="N2" s="12" t="s">
        <v>18</v>
      </c>
      <c r="O2" s="21" t="s">
        <v>19</v>
      </c>
      <c r="P2" s="22" t="s">
        <v>20</v>
      </c>
      <c r="Q2" s="21" t="s">
        <v>21</v>
      </c>
      <c r="R2" s="21" t="s">
        <v>22</v>
      </c>
      <c r="S2" s="21" t="s">
        <v>175</v>
      </c>
      <c r="T2" s="21" t="s">
        <v>23</v>
      </c>
      <c r="U2" s="21" t="s">
        <v>174</v>
      </c>
      <c r="V2" s="21" t="s">
        <v>173</v>
      </c>
      <c r="W2" s="21" t="s">
        <v>24</v>
      </c>
      <c r="X2" s="19" t="s">
        <v>25</v>
      </c>
    </row>
    <row r="3" spans="1:24" ht="16.5" thickBot="1" x14ac:dyDescent="0.3">
      <c r="A3" s="4"/>
      <c r="B3" s="4"/>
      <c r="C3" s="3" t="s">
        <v>26</v>
      </c>
      <c r="D3" s="9"/>
      <c r="E3" s="49">
        <f>O3*0.846</f>
        <v>0.87983999999999996</v>
      </c>
      <c r="F3" s="49">
        <f>A3*0.231+M3*0.1+O3*0.0588+P3*0.18+Q3*0.27+R3*0.33+T3*0.005*0.434</f>
        <v>0.11541040000000001</v>
      </c>
      <c r="G3" s="49">
        <f>A3*0.6447+M3*0.51+O3*0.396+P3*1.06+Q3*0.96+R3*0.921+T3*0.005*1.575</f>
        <v>0.62209000000000003</v>
      </c>
      <c r="H3" s="49">
        <f>A3*(0.777+0.45)+M3*(1.5)+P3*1.11+Q3*1.11+R3*1.11</f>
        <v>0.20424000000000003</v>
      </c>
      <c r="I3" s="5"/>
      <c r="J3" s="45">
        <f>A3*306.45+M3*238+N3*90.76+O3*438+P3*340.38+Q3*378.52+R3*404.81+S3*411.043+T3*412.45*0.005+U3*17.12+V3*18.08+W3*19.34+X3*234.12+K3*436.99+I3*367.03</f>
        <v>1106.2077400000001</v>
      </c>
      <c r="K3" s="5"/>
      <c r="L3" s="49">
        <f>O3*0.0282</f>
        <v>2.9328E-2</v>
      </c>
      <c r="M3" s="6"/>
      <c r="N3" s="192">
        <f>ROUND(1.5*1.25/4,2)</f>
        <v>0.47</v>
      </c>
      <c r="O3" s="192">
        <f>ROUND(O4/1.5*1.2,2)</f>
        <v>1.04</v>
      </c>
      <c r="P3" s="192">
        <v>9.4E-2</v>
      </c>
      <c r="Q3" s="8"/>
      <c r="R3" s="192">
        <v>0.09</v>
      </c>
      <c r="S3" s="7"/>
      <c r="T3" s="192">
        <f>ROUND(T4/1.5*1.2,2)</f>
        <v>3.52</v>
      </c>
      <c r="U3" s="7"/>
      <c r="V3" s="7"/>
      <c r="W3" s="192">
        <v>15.42</v>
      </c>
      <c r="X3" s="191">
        <v>1</v>
      </c>
    </row>
    <row r="4" spans="1:24" ht="16.5" thickBot="1" x14ac:dyDescent="0.3">
      <c r="A4" s="4"/>
      <c r="B4" s="4"/>
      <c r="C4" s="3" t="s">
        <v>27</v>
      </c>
      <c r="D4" s="9"/>
      <c r="E4" s="1">
        <f t="shared" ref="E4:E67" si="0">O4*0.846</f>
        <v>1.0998000000000001</v>
      </c>
      <c r="F4" s="1">
        <f t="shared" ref="F4:F67" si="1">A4*0.231+M4*0.1+O4*0.0588+P4*0.18+Q4*0.27+R4*0.33+T4*0.005*0.434</f>
        <v>0.132608</v>
      </c>
      <c r="G4" s="1">
        <f t="shared" ref="G4:G67" si="2">A4*0.6447+M4*0.51+O4*0.396+P4*1.06+Q4*0.96+R4*0.921+T4*0.005*1.575</f>
        <v>0.73198000000000008</v>
      </c>
      <c r="H4" s="1">
        <f>A4*(0.777+0.45)+M4*(1.5)+P4*1.11+Q4*1.11+R4*1.11</f>
        <v>0.20424000000000003</v>
      </c>
      <c r="I4" s="5"/>
      <c r="J4" s="45">
        <f t="shared" ref="J4:J15" si="3">A4*306.45+M4*238+N4*90.76+O4*438+P4*340.38+Q4*378.52+R4*404.81+S4*411.043+T4*412.45*0.005+U4*17.12+V4*18.08+W4*19.34+X4*234.12+K4*436.99+I4*367.03</f>
        <v>1221.9025200000001</v>
      </c>
      <c r="K4" s="5"/>
      <c r="L4" s="1">
        <f t="shared" ref="L4:L67" si="4">O4*0.0282</f>
        <v>3.6659999999999998E-2</v>
      </c>
      <c r="M4" s="6"/>
      <c r="N4" s="7">
        <f>ROUND(1.5*1.25/4,2)</f>
        <v>0.47</v>
      </c>
      <c r="O4" s="23">
        <f>ROUND(0.89*2*0.25*(1.5+0.75)*1.3,2)</f>
        <v>1.3</v>
      </c>
      <c r="P4" s="7">
        <v>9.4E-2</v>
      </c>
      <c r="Q4" s="8"/>
      <c r="R4" s="7">
        <v>0.09</v>
      </c>
      <c r="S4" s="7"/>
      <c r="T4" s="23">
        <v>4.4000000000000004</v>
      </c>
      <c r="U4" s="7"/>
      <c r="V4" s="7"/>
      <c r="W4" s="7">
        <v>15.42</v>
      </c>
      <c r="X4" s="8">
        <v>1</v>
      </c>
    </row>
    <row r="5" spans="1:24" ht="16.5" thickBot="1" x14ac:dyDescent="0.3">
      <c r="A5" s="4"/>
      <c r="B5" s="4"/>
      <c r="C5" s="3" t="s">
        <v>28</v>
      </c>
      <c r="D5" s="9"/>
      <c r="E5" s="1">
        <f t="shared" si="0"/>
        <v>1.4635799999999999</v>
      </c>
      <c r="F5" s="1">
        <f t="shared" si="1"/>
        <v>0.1610819</v>
      </c>
      <c r="G5" s="1">
        <f t="shared" si="2"/>
        <v>0.91383625000000013</v>
      </c>
      <c r="H5" s="1">
        <f t="shared" ref="H5:H68" si="5">A5*(0.777+0.45)+M5*(1.5)+P5*1.11+Q5*1.11+R5*1.11</f>
        <v>0.20424000000000003</v>
      </c>
      <c r="I5" s="5"/>
      <c r="J5" s="45">
        <f t="shared" si="3"/>
        <v>1413.2740275000001</v>
      </c>
      <c r="K5" s="5"/>
      <c r="L5" s="1">
        <f t="shared" si="4"/>
        <v>4.8785999999999996E-2</v>
      </c>
      <c r="M5" s="6"/>
      <c r="N5" s="7">
        <f>ROUND(1.5*1.25/4,2)</f>
        <v>0.47</v>
      </c>
      <c r="O5" s="7">
        <f>ROUND(O4/1.5*2,2)</f>
        <v>1.73</v>
      </c>
      <c r="P5" s="7">
        <v>9.4E-2</v>
      </c>
      <c r="Q5" s="8"/>
      <c r="R5" s="7">
        <v>0.09</v>
      </c>
      <c r="S5" s="7"/>
      <c r="T5" s="7">
        <f>ROUND(T4/1.5*2,2)</f>
        <v>5.87</v>
      </c>
      <c r="U5" s="7"/>
      <c r="V5" s="7"/>
      <c r="W5" s="7">
        <v>15.42</v>
      </c>
      <c r="X5" s="8">
        <v>1</v>
      </c>
    </row>
    <row r="6" spans="1:24" ht="16.5" thickBot="1" x14ac:dyDescent="0.3">
      <c r="A6" s="4"/>
      <c r="B6" s="4"/>
      <c r="C6" s="3" t="s">
        <v>29</v>
      </c>
      <c r="D6" s="9"/>
      <c r="E6" s="1">
        <f t="shared" si="0"/>
        <v>1.8358199999999998</v>
      </c>
      <c r="F6" s="1">
        <f t="shared" si="1"/>
        <v>0.19012209999999999</v>
      </c>
      <c r="G6" s="1">
        <f t="shared" si="2"/>
        <v>1.09957375</v>
      </c>
      <c r="H6" s="1">
        <f t="shared" si="5"/>
        <v>0.20424000000000003</v>
      </c>
      <c r="I6" s="5"/>
      <c r="J6" s="45">
        <f t="shared" si="3"/>
        <v>1609.0049125</v>
      </c>
      <c r="K6" s="5"/>
      <c r="L6" s="1">
        <f t="shared" si="4"/>
        <v>6.1193999999999998E-2</v>
      </c>
      <c r="M6" s="6"/>
      <c r="N6" s="7">
        <f>ROUND(1.5*1.25/4,2)</f>
        <v>0.47</v>
      </c>
      <c r="O6" s="7">
        <f>ROUND(O4/1.5*2.5,2)</f>
        <v>2.17</v>
      </c>
      <c r="P6" s="7">
        <v>9.4E-2</v>
      </c>
      <c r="Q6" s="8"/>
      <c r="R6" s="7">
        <v>0.09</v>
      </c>
      <c r="S6" s="7"/>
      <c r="T6" s="7">
        <f>ROUND(T4/1.5*2.5,2)</f>
        <v>7.33</v>
      </c>
      <c r="U6" s="7"/>
      <c r="V6" s="7"/>
      <c r="W6" s="7">
        <v>15.42</v>
      </c>
      <c r="X6" s="8">
        <v>1</v>
      </c>
    </row>
    <row r="7" spans="1:24" ht="16.5" thickBot="1" x14ac:dyDescent="0.3">
      <c r="A7" s="4"/>
      <c r="B7" s="4"/>
      <c r="C7" s="3" t="s">
        <v>112</v>
      </c>
      <c r="D7" s="9"/>
      <c r="E7" s="1">
        <f t="shared" si="0"/>
        <v>0</v>
      </c>
      <c r="F7" s="1">
        <f t="shared" si="1"/>
        <v>0.43266000000000004</v>
      </c>
      <c r="G7" s="1">
        <f t="shared" si="2"/>
        <v>1.26997</v>
      </c>
      <c r="H7" s="1">
        <f t="shared" si="5"/>
        <v>1.5118200000000002</v>
      </c>
      <c r="I7" s="5"/>
      <c r="J7" s="45">
        <f t="shared" si="3"/>
        <v>895.78926000000001</v>
      </c>
      <c r="K7" s="5"/>
      <c r="L7" s="1">
        <f>O7*0.0282</f>
        <v>0</v>
      </c>
      <c r="M7" s="6"/>
      <c r="N7" s="7">
        <f>N11/2</f>
        <v>1.2949999999999999</v>
      </c>
      <c r="O7" s="7"/>
      <c r="P7" s="7">
        <v>0.112</v>
      </c>
      <c r="Q7" s="8"/>
      <c r="R7" s="7">
        <f>ROUND(1.58/1.45*1.15,2)</f>
        <v>1.25</v>
      </c>
      <c r="S7" s="7"/>
      <c r="T7" s="7"/>
      <c r="U7" s="7"/>
      <c r="V7" s="7"/>
      <c r="W7" s="7"/>
      <c r="X7" s="8">
        <v>1</v>
      </c>
    </row>
    <row r="8" spans="1:24" ht="16.5" thickBot="1" x14ac:dyDescent="0.3">
      <c r="A8" s="4"/>
      <c r="B8" s="4"/>
      <c r="C8" s="3" t="s">
        <v>113</v>
      </c>
      <c r="D8" s="9"/>
      <c r="E8" s="1">
        <f t="shared" si="0"/>
        <v>0</v>
      </c>
      <c r="F8" s="1">
        <f t="shared" si="1"/>
        <v>0.54156000000000004</v>
      </c>
      <c r="G8" s="1">
        <f t="shared" si="2"/>
        <v>1.5739000000000001</v>
      </c>
      <c r="H8" s="1">
        <f t="shared" si="5"/>
        <v>1.8781200000000002</v>
      </c>
      <c r="I8" s="5"/>
      <c r="J8" s="45">
        <f t="shared" si="3"/>
        <v>1060.2349600000002</v>
      </c>
      <c r="K8" s="5"/>
      <c r="L8" s="1">
        <f t="shared" si="4"/>
        <v>0</v>
      </c>
      <c r="M8" s="6"/>
      <c r="N8" s="7">
        <f>N12/2</f>
        <v>1.635</v>
      </c>
      <c r="O8" s="7"/>
      <c r="P8" s="7">
        <v>0.112</v>
      </c>
      <c r="Q8" s="8"/>
      <c r="R8" s="7">
        <v>1.58</v>
      </c>
      <c r="S8" s="7"/>
      <c r="T8" s="7"/>
      <c r="U8" s="7"/>
      <c r="V8" s="7"/>
      <c r="W8" s="7"/>
      <c r="X8" s="8">
        <v>1</v>
      </c>
    </row>
    <row r="9" spans="1:24" ht="16.5" thickBot="1" x14ac:dyDescent="0.3">
      <c r="A9" s="4"/>
      <c r="B9" s="4"/>
      <c r="C9" s="3" t="s">
        <v>114</v>
      </c>
      <c r="D9" s="9"/>
      <c r="E9" s="1">
        <f t="shared" si="0"/>
        <v>0</v>
      </c>
      <c r="F9" s="1">
        <f t="shared" si="1"/>
        <v>0.71976000000000007</v>
      </c>
      <c r="G9" s="1">
        <f t="shared" si="2"/>
        <v>2.0712400000000004</v>
      </c>
      <c r="H9" s="1">
        <f t="shared" si="5"/>
        <v>2.4775200000000002</v>
      </c>
      <c r="I9" s="5"/>
      <c r="J9" s="45">
        <f t="shared" si="3"/>
        <v>1330.1117600000002</v>
      </c>
      <c r="K9" s="5"/>
      <c r="L9" s="1">
        <f t="shared" si="4"/>
        <v>0</v>
      </c>
      <c r="M9" s="6"/>
      <c r="N9" s="7">
        <f>N13/2</f>
        <v>2.2000000000000002</v>
      </c>
      <c r="O9" s="7"/>
      <c r="P9" s="7">
        <v>0.112</v>
      </c>
      <c r="Q9" s="8"/>
      <c r="R9" s="7">
        <f>ROUND(1.58/1.45*1.95,2)</f>
        <v>2.12</v>
      </c>
      <c r="S9" s="7"/>
      <c r="T9" s="7"/>
      <c r="U9" s="7"/>
      <c r="V9" s="7"/>
      <c r="W9" s="7"/>
      <c r="X9" s="8">
        <v>1</v>
      </c>
    </row>
    <row r="10" spans="1:24" ht="16.5" thickBot="1" x14ac:dyDescent="0.3">
      <c r="A10" s="4"/>
      <c r="B10" s="4"/>
      <c r="C10" s="3" t="s">
        <v>115</v>
      </c>
      <c r="D10" s="9"/>
      <c r="E10" s="1">
        <f t="shared" si="0"/>
        <v>0</v>
      </c>
      <c r="F10" s="1">
        <f t="shared" si="1"/>
        <v>0.90125999999999995</v>
      </c>
      <c r="G10" s="1">
        <f t="shared" si="2"/>
        <v>2.5777900000000002</v>
      </c>
      <c r="H10" s="1">
        <f t="shared" si="5"/>
        <v>3.0880200000000002</v>
      </c>
      <c r="I10" s="5"/>
      <c r="J10" s="45">
        <f t="shared" si="3"/>
        <v>1604.0366599999998</v>
      </c>
      <c r="K10" s="5"/>
      <c r="L10" s="1">
        <f t="shared" si="4"/>
        <v>0</v>
      </c>
      <c r="M10" s="6"/>
      <c r="N10" s="7">
        <f>N14/2</f>
        <v>2.7650000000000001</v>
      </c>
      <c r="O10" s="7"/>
      <c r="P10" s="7">
        <v>0.112</v>
      </c>
      <c r="Q10" s="8"/>
      <c r="R10" s="7">
        <f>ROUND(1.58/1.45*2.45,2)</f>
        <v>2.67</v>
      </c>
      <c r="S10" s="7"/>
      <c r="T10" s="7"/>
      <c r="U10" s="7"/>
      <c r="V10" s="7"/>
      <c r="W10" s="7"/>
      <c r="X10" s="8">
        <v>1</v>
      </c>
    </row>
    <row r="11" spans="1:24" ht="16.5" thickBot="1" x14ac:dyDescent="0.3">
      <c r="A11" s="4"/>
      <c r="B11" s="4"/>
      <c r="C11" s="3" t="s">
        <v>50</v>
      </c>
      <c r="D11" s="9"/>
      <c r="E11" s="1">
        <f t="shared" si="0"/>
        <v>0</v>
      </c>
      <c r="F11" s="1">
        <f t="shared" si="1"/>
        <v>0.20478000000000002</v>
      </c>
      <c r="G11" s="1">
        <f t="shared" si="2"/>
        <v>0.60275000000000001</v>
      </c>
      <c r="H11" s="1">
        <f t="shared" si="5"/>
        <v>0.71706000000000003</v>
      </c>
      <c r="I11" s="5"/>
      <c r="J11" s="45">
        <f t="shared" si="3"/>
        <v>1723.0975800000001</v>
      </c>
      <c r="K11" s="5"/>
      <c r="L11" s="1">
        <f t="shared" si="4"/>
        <v>0</v>
      </c>
      <c r="M11" s="6"/>
      <c r="N11" s="7">
        <f>ROUND(N12/1.45*1.15,2)</f>
        <v>2.59</v>
      </c>
      <c r="O11" s="7"/>
      <c r="P11" s="7">
        <f>0.112/2</f>
        <v>5.6000000000000001E-2</v>
      </c>
      <c r="Q11" s="8"/>
      <c r="R11" s="7">
        <f>ROUND(R12/1.45*1.15,2)</f>
        <v>0.59</v>
      </c>
      <c r="S11" s="7"/>
      <c r="T11" s="7"/>
      <c r="U11" s="7"/>
      <c r="V11" s="7"/>
      <c r="W11" s="7">
        <f>ROUND(W12/1.45*1.15,2)</f>
        <v>51.5</v>
      </c>
      <c r="X11" s="8">
        <v>1</v>
      </c>
    </row>
    <row r="12" spans="1:24" ht="16.5" thickBot="1" x14ac:dyDescent="0.3">
      <c r="A12" s="4"/>
      <c r="B12" s="4"/>
      <c r="C12" s="3" t="s">
        <v>47</v>
      </c>
      <c r="D12" s="9"/>
      <c r="E12" s="1">
        <f t="shared" si="0"/>
        <v>0</v>
      </c>
      <c r="F12" s="1">
        <f t="shared" si="1"/>
        <v>0.25757999999999998</v>
      </c>
      <c r="G12" s="1">
        <f t="shared" si="2"/>
        <v>0.75010999999999994</v>
      </c>
      <c r="H12" s="1">
        <f t="shared" si="5"/>
        <v>0.89466000000000001</v>
      </c>
      <c r="I12" s="5"/>
      <c r="J12" s="45">
        <f t="shared" si="3"/>
        <v>2109.5135799999998</v>
      </c>
      <c r="K12" s="5"/>
      <c r="L12" s="1">
        <f t="shared" si="4"/>
        <v>0</v>
      </c>
      <c r="M12" s="6"/>
      <c r="N12" s="23">
        <f>ROUND(9.8/3,2)</f>
        <v>3.27</v>
      </c>
      <c r="O12" s="7"/>
      <c r="P12" s="7">
        <f>0.112/2</f>
        <v>5.6000000000000001E-2</v>
      </c>
      <c r="Q12" s="8"/>
      <c r="R12" s="23">
        <v>0.75</v>
      </c>
      <c r="S12" s="23"/>
      <c r="T12" s="7"/>
      <c r="U12" s="23"/>
      <c r="V12" s="23"/>
      <c r="W12" s="23">
        <v>64.94</v>
      </c>
      <c r="X12" s="8">
        <v>1</v>
      </c>
    </row>
    <row r="13" spans="1:24" ht="16.5" thickBot="1" x14ac:dyDescent="0.3">
      <c r="A13" s="4"/>
      <c r="B13" s="4"/>
      <c r="C13" s="3" t="s">
        <v>48</v>
      </c>
      <c r="D13" s="9"/>
      <c r="E13" s="1">
        <f t="shared" si="0"/>
        <v>0</v>
      </c>
      <c r="F13" s="1">
        <f t="shared" si="1"/>
        <v>0.34338000000000002</v>
      </c>
      <c r="G13" s="1">
        <f t="shared" si="2"/>
        <v>0.98957000000000006</v>
      </c>
      <c r="H13" s="1">
        <f t="shared" si="5"/>
        <v>1.1832600000000002</v>
      </c>
      <c r="I13" s="5"/>
      <c r="J13" s="45">
        <f t="shared" si="3"/>
        <v>2317.3229799999999</v>
      </c>
      <c r="K13" s="5"/>
      <c r="L13" s="1">
        <f t="shared" si="4"/>
        <v>0</v>
      </c>
      <c r="M13" s="6"/>
      <c r="N13" s="7">
        <f>ROUND(N12/1.45*1.95,2)</f>
        <v>4.4000000000000004</v>
      </c>
      <c r="O13" s="7"/>
      <c r="P13" s="7">
        <f>0.112/2</f>
        <v>5.6000000000000001E-2</v>
      </c>
      <c r="Q13" s="8"/>
      <c r="R13" s="7">
        <f>ROUND(R12/1.45*1.95,2)</f>
        <v>1.01</v>
      </c>
      <c r="S13" s="7"/>
      <c r="T13" s="7"/>
      <c r="U13" s="7"/>
      <c r="V13" s="7"/>
      <c r="W13" s="7">
        <f>ROUND(W12/1.95*1.95,2)</f>
        <v>64.94</v>
      </c>
      <c r="X13" s="8">
        <v>1</v>
      </c>
    </row>
    <row r="14" spans="1:24" ht="16.5" thickBot="1" x14ac:dyDescent="0.3">
      <c r="A14" s="4"/>
      <c r="B14" s="4"/>
      <c r="C14" s="3" t="s">
        <v>49</v>
      </c>
      <c r="D14" s="9"/>
      <c r="E14" s="1">
        <f t="shared" si="0"/>
        <v>0</v>
      </c>
      <c r="F14" s="1">
        <f t="shared" si="1"/>
        <v>0.42918000000000001</v>
      </c>
      <c r="G14" s="1">
        <f t="shared" si="2"/>
        <v>1.2290300000000001</v>
      </c>
      <c r="H14" s="1">
        <f t="shared" si="5"/>
        <v>1.4718600000000002</v>
      </c>
      <c r="I14" s="5"/>
      <c r="J14" s="45">
        <f t="shared" si="3"/>
        <v>2847.14338</v>
      </c>
      <c r="K14" s="5"/>
      <c r="L14" s="1">
        <f t="shared" si="4"/>
        <v>0</v>
      </c>
      <c r="M14" s="6"/>
      <c r="N14" s="7">
        <f>ROUND(N12/1.45*2.45,2)</f>
        <v>5.53</v>
      </c>
      <c r="O14" s="7"/>
      <c r="P14" s="7">
        <f>0.112/2</f>
        <v>5.6000000000000001E-2</v>
      </c>
      <c r="Q14" s="8"/>
      <c r="R14" s="7">
        <f>ROUND(R12/1.45*2.45,2)</f>
        <v>1.27</v>
      </c>
      <c r="S14" s="7"/>
      <c r="T14" s="7"/>
      <c r="U14" s="7"/>
      <c r="V14" s="7"/>
      <c r="W14" s="7">
        <f>ROUND(W12/1.95*2.45,2)</f>
        <v>81.59</v>
      </c>
      <c r="X14" s="8">
        <v>1</v>
      </c>
    </row>
    <row r="15" spans="1:24" ht="16.5" thickBot="1" x14ac:dyDescent="0.3">
      <c r="A15" s="4"/>
      <c r="B15" s="4"/>
      <c r="C15" s="3" t="s">
        <v>43</v>
      </c>
      <c r="D15" s="9"/>
      <c r="E15" s="1">
        <f t="shared" si="0"/>
        <v>1.6716959999999998</v>
      </c>
      <c r="F15" s="1">
        <f t="shared" si="1"/>
        <v>0.2047668</v>
      </c>
      <c r="G15" s="1">
        <f t="shared" si="2"/>
        <v>1.1293030000000002</v>
      </c>
      <c r="H15" s="1">
        <f t="shared" si="5"/>
        <v>0.38805600000000001</v>
      </c>
      <c r="I15" s="5"/>
      <c r="J15" s="45">
        <f t="shared" si="3"/>
        <v>2111.4143779999999</v>
      </c>
      <c r="K15" s="5"/>
      <c r="L15" s="1">
        <f t="shared" si="4"/>
        <v>5.5723200000000001E-2</v>
      </c>
      <c r="M15" s="6"/>
      <c r="N15" s="7">
        <f>N3*1.9</f>
        <v>0.8929999999999999</v>
      </c>
      <c r="O15" s="7">
        <f>O3*1.9</f>
        <v>1.976</v>
      </c>
      <c r="P15" s="7">
        <f>P3*1.9</f>
        <v>0.17859999999999998</v>
      </c>
      <c r="Q15" s="8"/>
      <c r="R15" s="7">
        <f>R3*1.9</f>
        <v>0.17099999999999999</v>
      </c>
      <c r="S15" s="7"/>
      <c r="T15" s="7"/>
      <c r="U15" s="7"/>
      <c r="V15" s="7"/>
      <c r="W15" s="7">
        <f>W3*1.9</f>
        <v>29.297999999999998</v>
      </c>
      <c r="X15" s="8">
        <v>2</v>
      </c>
    </row>
    <row r="16" spans="1:24" ht="16.5" thickBot="1" x14ac:dyDescent="0.3">
      <c r="A16" s="4"/>
      <c r="B16" s="4"/>
      <c r="C16" s="3" t="s">
        <v>44</v>
      </c>
      <c r="D16" s="9"/>
      <c r="E16" s="1">
        <f t="shared" si="0"/>
        <v>2.0896199999999996</v>
      </c>
      <c r="F16" s="1">
        <f t="shared" si="1"/>
        <v>0.23381399999999999</v>
      </c>
      <c r="G16" s="1">
        <f t="shared" si="2"/>
        <v>1.324927</v>
      </c>
      <c r="H16" s="1">
        <f t="shared" si="5"/>
        <v>0.38805600000000001</v>
      </c>
      <c r="I16" s="5"/>
      <c r="J16" s="45">
        <f t="shared" ref="J16:J67" si="6">A16*306.45+M16*238+N16*90.76+O16*438+P16*340.38+Q16*378.52+R16*404.81+S16*411.043+T16*412.45*0.005+U16*17.12+V16*18.08+W16*19.34+X16*234.12+K16*436.99+I16*367.03</f>
        <v>2327.7863779999998</v>
      </c>
      <c r="K16" s="5"/>
      <c r="L16" s="1">
        <f t="shared" si="4"/>
        <v>6.9653999999999994E-2</v>
      </c>
      <c r="M16" s="6"/>
      <c r="N16" s="7">
        <f t="shared" ref="N16:P18" si="7">N4*1.9</f>
        <v>0.8929999999999999</v>
      </c>
      <c r="O16" s="7">
        <f t="shared" si="7"/>
        <v>2.4699999999999998</v>
      </c>
      <c r="P16" s="7">
        <f t="shared" si="7"/>
        <v>0.17859999999999998</v>
      </c>
      <c r="Q16" s="8"/>
      <c r="R16" s="7">
        <f>R4*1.9</f>
        <v>0.17099999999999999</v>
      </c>
      <c r="S16" s="7"/>
      <c r="T16" s="7"/>
      <c r="U16" s="7"/>
      <c r="V16" s="7"/>
      <c r="W16" s="7">
        <f>W4*1.9</f>
        <v>29.297999999999998</v>
      </c>
      <c r="X16" s="8">
        <v>2</v>
      </c>
    </row>
    <row r="17" spans="1:26" ht="16.5" thickBot="1" x14ac:dyDescent="0.3">
      <c r="A17" s="4"/>
      <c r="B17" s="4"/>
      <c r="C17" s="3" t="s">
        <v>45</v>
      </c>
      <c r="D17" s="9"/>
      <c r="E17" s="1">
        <f t="shared" si="0"/>
        <v>2.780802</v>
      </c>
      <c r="F17" s="1">
        <f t="shared" si="1"/>
        <v>0.28185359999999998</v>
      </c>
      <c r="G17" s="1">
        <f t="shared" si="2"/>
        <v>1.6484590000000001</v>
      </c>
      <c r="H17" s="1">
        <f t="shared" si="5"/>
        <v>0.38805600000000001</v>
      </c>
      <c r="I17" s="5"/>
      <c r="J17" s="45">
        <f t="shared" si="6"/>
        <v>2685.6323780000002</v>
      </c>
      <c r="K17" s="5"/>
      <c r="L17" s="1">
        <f t="shared" si="4"/>
        <v>9.2693399999999995E-2</v>
      </c>
      <c r="M17" s="6"/>
      <c r="N17" s="7">
        <f t="shared" si="7"/>
        <v>0.8929999999999999</v>
      </c>
      <c r="O17" s="7">
        <f t="shared" si="7"/>
        <v>3.2869999999999999</v>
      </c>
      <c r="P17" s="7">
        <f t="shared" si="7"/>
        <v>0.17859999999999998</v>
      </c>
      <c r="Q17" s="8"/>
      <c r="R17" s="7">
        <f>R5*1.9</f>
        <v>0.17099999999999999</v>
      </c>
      <c r="S17" s="7"/>
      <c r="T17" s="7"/>
      <c r="U17" s="7"/>
      <c r="V17" s="7"/>
      <c r="W17" s="7">
        <f>W5*1.9</f>
        <v>29.297999999999998</v>
      </c>
      <c r="X17" s="8">
        <v>2</v>
      </c>
    </row>
    <row r="18" spans="1:26" ht="16.5" thickBot="1" x14ac:dyDescent="0.3">
      <c r="A18" s="4"/>
      <c r="B18" s="4"/>
      <c r="C18" s="3" t="s">
        <v>46</v>
      </c>
      <c r="D18" s="9"/>
      <c r="E18" s="1">
        <f t="shared" si="0"/>
        <v>3.4880579999999992</v>
      </c>
      <c r="F18" s="1">
        <f t="shared" si="1"/>
        <v>0.33101039999999993</v>
      </c>
      <c r="G18" s="1">
        <f t="shared" si="2"/>
        <v>1.9795149999999999</v>
      </c>
      <c r="H18" s="1">
        <f t="shared" si="5"/>
        <v>0.38805600000000001</v>
      </c>
      <c r="I18" s="5"/>
      <c r="J18" s="45">
        <f t="shared" si="6"/>
        <v>3051.8003779999999</v>
      </c>
      <c r="K18" s="5"/>
      <c r="L18" s="1">
        <f t="shared" si="4"/>
        <v>0.11626859999999997</v>
      </c>
      <c r="M18" s="6"/>
      <c r="N18" s="7">
        <f t="shared" si="7"/>
        <v>0.8929999999999999</v>
      </c>
      <c r="O18" s="7">
        <f t="shared" si="7"/>
        <v>4.1229999999999993</v>
      </c>
      <c r="P18" s="7">
        <f t="shared" si="7"/>
        <v>0.17859999999999998</v>
      </c>
      <c r="Q18" s="8"/>
      <c r="R18" s="7">
        <f>R6*1.9</f>
        <v>0.17099999999999999</v>
      </c>
      <c r="S18" s="7"/>
      <c r="T18" s="7"/>
      <c r="U18" s="7"/>
      <c r="V18" s="7"/>
      <c r="W18" s="7">
        <f>W6*1.9</f>
        <v>29.297999999999998</v>
      </c>
      <c r="X18" s="8">
        <v>2</v>
      </c>
    </row>
    <row r="19" spans="1:26" ht="16.5" thickBot="1" x14ac:dyDescent="0.3">
      <c r="A19" s="4"/>
      <c r="B19" s="4"/>
      <c r="C19" s="3" t="s">
        <v>116</v>
      </c>
      <c r="D19" s="9"/>
      <c r="E19" s="1">
        <f t="shared" si="0"/>
        <v>0</v>
      </c>
      <c r="F19" s="1">
        <f t="shared" si="1"/>
        <v>0.82205400000000006</v>
      </c>
      <c r="G19" s="1">
        <f t="shared" si="2"/>
        <v>2.4129430000000003</v>
      </c>
      <c r="H19" s="1">
        <f t="shared" si="5"/>
        <v>2.8724580000000004</v>
      </c>
      <c r="I19" s="5"/>
      <c r="J19" s="45">
        <f t="shared" si="6"/>
        <v>1725.4115939999999</v>
      </c>
      <c r="K19" s="5"/>
      <c r="L19" s="1">
        <f t="shared" si="4"/>
        <v>0</v>
      </c>
      <c r="M19" s="6"/>
      <c r="N19" s="7">
        <f>1.9*N7</f>
        <v>2.4604999999999997</v>
      </c>
      <c r="O19" s="7"/>
      <c r="P19" s="7">
        <f t="shared" ref="P19:P26" si="8">1.9*P7</f>
        <v>0.21279999999999999</v>
      </c>
      <c r="Q19" s="8"/>
      <c r="R19" s="7">
        <f t="shared" ref="R19:R26" si="9">1.9*R7</f>
        <v>2.375</v>
      </c>
      <c r="S19" s="7"/>
      <c r="T19" s="7"/>
      <c r="U19" s="7"/>
      <c r="V19" s="7"/>
      <c r="W19" s="7"/>
      <c r="X19" s="8">
        <v>2</v>
      </c>
    </row>
    <row r="20" spans="1:26" ht="16.5" thickBot="1" x14ac:dyDescent="0.3">
      <c r="A20" s="4"/>
      <c r="B20" s="4"/>
      <c r="C20" s="3" t="s">
        <v>117</v>
      </c>
      <c r="D20" s="9"/>
      <c r="E20" s="1">
        <f t="shared" si="0"/>
        <v>0</v>
      </c>
      <c r="F20" s="1">
        <f t="shared" si="1"/>
        <v>1.028964</v>
      </c>
      <c r="G20" s="1">
        <f t="shared" si="2"/>
        <v>2.9904099999999998</v>
      </c>
      <c r="H20" s="1">
        <f t="shared" si="5"/>
        <v>3.5684279999999999</v>
      </c>
      <c r="I20" s="5"/>
      <c r="J20" s="45">
        <f t="shared" si="6"/>
        <v>2037.8584239999998</v>
      </c>
      <c r="K20" s="5"/>
      <c r="L20" s="1">
        <f t="shared" si="4"/>
        <v>0</v>
      </c>
      <c r="M20" s="6"/>
      <c r="N20" s="7">
        <f t="shared" ref="N20:N26" si="10">1.9*N8</f>
        <v>3.1065</v>
      </c>
      <c r="O20" s="7"/>
      <c r="P20" s="7">
        <f t="shared" si="8"/>
        <v>0.21279999999999999</v>
      </c>
      <c r="Q20" s="8"/>
      <c r="R20" s="7">
        <f t="shared" si="9"/>
        <v>3.0019999999999998</v>
      </c>
      <c r="S20" s="7"/>
      <c r="T20" s="7"/>
      <c r="U20" s="7"/>
      <c r="V20" s="7"/>
      <c r="W20" s="7"/>
      <c r="X20" s="8">
        <v>2</v>
      </c>
    </row>
    <row r="21" spans="1:26" ht="16.5" thickBot="1" x14ac:dyDescent="0.3">
      <c r="A21" s="4"/>
      <c r="B21" s="4"/>
      <c r="C21" s="3" t="s">
        <v>118</v>
      </c>
      <c r="D21" s="9"/>
      <c r="E21" s="1">
        <f t="shared" si="0"/>
        <v>0</v>
      </c>
      <c r="F21" s="1">
        <f t="shared" si="1"/>
        <v>1.3675439999999999</v>
      </c>
      <c r="G21" s="1">
        <f t="shared" si="2"/>
        <v>3.9353559999999996</v>
      </c>
      <c r="H21" s="1">
        <f t="shared" si="5"/>
        <v>4.7072880000000001</v>
      </c>
      <c r="I21" s="5"/>
      <c r="J21" s="45">
        <f t="shared" si="6"/>
        <v>2550.6243439999998</v>
      </c>
      <c r="K21" s="5"/>
      <c r="L21" s="1">
        <f t="shared" si="4"/>
        <v>0</v>
      </c>
      <c r="M21" s="6"/>
      <c r="N21" s="7">
        <f t="shared" si="10"/>
        <v>4.18</v>
      </c>
      <c r="O21" s="7"/>
      <c r="P21" s="7">
        <f t="shared" si="8"/>
        <v>0.21279999999999999</v>
      </c>
      <c r="Q21" s="8"/>
      <c r="R21" s="7">
        <f t="shared" si="9"/>
        <v>4.0279999999999996</v>
      </c>
      <c r="S21" s="7"/>
      <c r="T21" s="7"/>
      <c r="U21" s="7"/>
      <c r="V21" s="7"/>
      <c r="W21" s="7"/>
      <c r="X21" s="8">
        <v>2</v>
      </c>
    </row>
    <row r="22" spans="1:26" ht="16.5" thickBot="1" x14ac:dyDescent="0.3">
      <c r="A22" s="4"/>
      <c r="B22" s="4"/>
      <c r="C22" s="3" t="s">
        <v>119</v>
      </c>
      <c r="D22" s="9"/>
      <c r="E22" s="1">
        <f t="shared" si="0"/>
        <v>0</v>
      </c>
      <c r="F22" s="1">
        <f t="shared" si="1"/>
        <v>1.7123939999999997</v>
      </c>
      <c r="G22" s="1">
        <f t="shared" si="2"/>
        <v>4.8978009999999994</v>
      </c>
      <c r="H22" s="1">
        <f t="shared" si="5"/>
        <v>5.8672380000000004</v>
      </c>
      <c r="I22" s="5"/>
      <c r="J22" s="45">
        <f t="shared" si="6"/>
        <v>3071.0816539999996</v>
      </c>
      <c r="K22" s="5"/>
      <c r="L22" s="1">
        <f t="shared" si="4"/>
        <v>0</v>
      </c>
      <c r="M22" s="6"/>
      <c r="N22" s="7">
        <f t="shared" si="10"/>
        <v>5.2534999999999998</v>
      </c>
      <c r="O22" s="7"/>
      <c r="P22" s="7">
        <f t="shared" si="8"/>
        <v>0.21279999999999999</v>
      </c>
      <c r="Q22" s="8"/>
      <c r="R22" s="7">
        <f t="shared" si="9"/>
        <v>5.0729999999999995</v>
      </c>
      <c r="S22" s="7"/>
      <c r="T22" s="7"/>
      <c r="U22" s="7"/>
      <c r="V22" s="7"/>
      <c r="W22" s="7"/>
      <c r="X22" s="8">
        <v>2</v>
      </c>
    </row>
    <row r="23" spans="1:26" ht="16.5" thickBot="1" x14ac:dyDescent="0.3">
      <c r="A23" s="4"/>
      <c r="B23" s="4"/>
      <c r="C23" s="3" t="s">
        <v>54</v>
      </c>
      <c r="D23" s="9"/>
      <c r="E23" s="1">
        <f t="shared" si="0"/>
        <v>0</v>
      </c>
      <c r="F23" s="1">
        <f t="shared" si="1"/>
        <v>0.38908200000000004</v>
      </c>
      <c r="G23" s="1">
        <f t="shared" si="2"/>
        <v>1.1452249999999999</v>
      </c>
      <c r="H23" s="1">
        <f t="shared" si="5"/>
        <v>1.362414</v>
      </c>
      <c r="I23" s="5"/>
      <c r="J23" s="45">
        <f t="shared" si="6"/>
        <v>3297.2974020000001</v>
      </c>
      <c r="K23" s="5"/>
      <c r="L23" s="1">
        <f t="shared" si="4"/>
        <v>0</v>
      </c>
      <c r="M23" s="6"/>
      <c r="N23" s="7">
        <f>1.9*N11</f>
        <v>4.9209999999999994</v>
      </c>
      <c r="O23" s="7"/>
      <c r="P23" s="7">
        <f t="shared" si="8"/>
        <v>0.10639999999999999</v>
      </c>
      <c r="Q23" s="8"/>
      <c r="R23" s="7">
        <f>1.9*R11</f>
        <v>1.121</v>
      </c>
      <c r="S23" s="7"/>
      <c r="T23" s="7"/>
      <c r="U23" s="7"/>
      <c r="V23" s="7"/>
      <c r="W23" s="7">
        <f>1.9*W11</f>
        <v>97.85</v>
      </c>
      <c r="X23" s="8">
        <v>2</v>
      </c>
    </row>
    <row r="24" spans="1:26" ht="16.5" thickBot="1" x14ac:dyDescent="0.3">
      <c r="A24" s="4"/>
      <c r="B24" s="4"/>
      <c r="C24" s="3" t="s">
        <v>51</v>
      </c>
      <c r="D24" s="9"/>
      <c r="E24" s="1">
        <f t="shared" si="0"/>
        <v>0</v>
      </c>
      <c r="F24" s="1">
        <f t="shared" si="1"/>
        <v>0.48940199999999995</v>
      </c>
      <c r="G24" s="1">
        <f t="shared" si="2"/>
        <v>1.4252089999999999</v>
      </c>
      <c r="H24" s="1">
        <f t="shared" si="5"/>
        <v>1.699854</v>
      </c>
      <c r="I24" s="5"/>
      <c r="J24" s="45">
        <f t="shared" si="6"/>
        <v>4031.4878019999996</v>
      </c>
      <c r="K24" s="5"/>
      <c r="L24" s="1">
        <f t="shared" si="4"/>
        <v>0</v>
      </c>
      <c r="M24" s="6"/>
      <c r="N24" s="7">
        <f t="shared" si="10"/>
        <v>6.2130000000000001</v>
      </c>
      <c r="O24" s="7"/>
      <c r="P24" s="7">
        <f t="shared" si="8"/>
        <v>0.10639999999999999</v>
      </c>
      <c r="Q24" s="8"/>
      <c r="R24" s="7">
        <f t="shared" si="9"/>
        <v>1.4249999999999998</v>
      </c>
      <c r="S24" s="7"/>
      <c r="T24" s="7"/>
      <c r="U24" s="7"/>
      <c r="V24" s="7"/>
      <c r="W24" s="7">
        <f>1.9*W12</f>
        <v>123.386</v>
      </c>
      <c r="X24" s="8">
        <v>2</v>
      </c>
    </row>
    <row r="25" spans="1:26" ht="16.5" thickBot="1" x14ac:dyDescent="0.3">
      <c r="A25" s="4"/>
      <c r="B25" s="4"/>
      <c r="C25" s="3" t="s">
        <v>52</v>
      </c>
      <c r="D25" s="9"/>
      <c r="E25" s="1">
        <f t="shared" si="0"/>
        <v>0</v>
      </c>
      <c r="F25" s="1">
        <f t="shared" si="1"/>
        <v>0.65242199999999995</v>
      </c>
      <c r="G25" s="1">
        <f t="shared" si="2"/>
        <v>1.8801829999999999</v>
      </c>
      <c r="H25" s="1">
        <f t="shared" si="5"/>
        <v>2.2481940000000002</v>
      </c>
      <c r="I25" s="5"/>
      <c r="J25" s="45">
        <f t="shared" si="6"/>
        <v>4426.3256619999993</v>
      </c>
      <c r="K25" s="5"/>
      <c r="L25" s="1">
        <f t="shared" si="4"/>
        <v>0</v>
      </c>
      <c r="M25" s="6"/>
      <c r="N25" s="7">
        <f t="shared" si="10"/>
        <v>8.36</v>
      </c>
      <c r="O25" s="7"/>
      <c r="P25" s="7">
        <f t="shared" si="8"/>
        <v>0.10639999999999999</v>
      </c>
      <c r="Q25" s="8"/>
      <c r="R25" s="7">
        <f t="shared" si="9"/>
        <v>1.9189999999999998</v>
      </c>
      <c r="S25" s="7"/>
      <c r="T25" s="7"/>
      <c r="U25" s="7"/>
      <c r="V25" s="7"/>
      <c r="W25" s="7">
        <f>1.9*W13</f>
        <v>123.386</v>
      </c>
      <c r="X25" s="8">
        <v>2</v>
      </c>
    </row>
    <row r="26" spans="1:26" ht="16.5" thickBot="1" x14ac:dyDescent="0.3">
      <c r="A26" s="4"/>
      <c r="B26" s="4"/>
      <c r="C26" s="3" t="s">
        <v>53</v>
      </c>
      <c r="D26" s="9"/>
      <c r="E26" s="1">
        <f t="shared" si="0"/>
        <v>0</v>
      </c>
      <c r="F26" s="1">
        <f t="shared" si="1"/>
        <v>0.81544199999999989</v>
      </c>
      <c r="G26" s="1">
        <f t="shared" si="2"/>
        <v>2.3351569999999997</v>
      </c>
      <c r="H26" s="1">
        <f t="shared" si="5"/>
        <v>2.7965340000000003</v>
      </c>
      <c r="I26" s="5"/>
      <c r="J26" s="45">
        <f t="shared" si="6"/>
        <v>5432.9844219999995</v>
      </c>
      <c r="K26" s="5"/>
      <c r="L26" s="1">
        <f t="shared" si="4"/>
        <v>0</v>
      </c>
      <c r="M26" s="6"/>
      <c r="N26" s="7">
        <f t="shared" si="10"/>
        <v>10.507</v>
      </c>
      <c r="O26" s="7"/>
      <c r="P26" s="7">
        <f t="shared" si="8"/>
        <v>0.10639999999999999</v>
      </c>
      <c r="Q26" s="8"/>
      <c r="R26" s="7">
        <f t="shared" si="9"/>
        <v>2.4129999999999998</v>
      </c>
      <c r="S26" s="7"/>
      <c r="T26" s="7"/>
      <c r="U26" s="7"/>
      <c r="V26" s="7"/>
      <c r="W26" s="7">
        <f>1.9*W14</f>
        <v>155.02099999999999</v>
      </c>
      <c r="X26" s="8">
        <v>2</v>
      </c>
    </row>
    <row r="27" spans="1:26" s="50" customFormat="1" ht="16.5" thickBot="1" x14ac:dyDescent="0.3">
      <c r="A27" s="35"/>
      <c r="B27" s="35"/>
      <c r="C27" s="47" t="s">
        <v>41</v>
      </c>
      <c r="D27" s="48"/>
      <c r="E27" s="49">
        <f t="shared" si="0"/>
        <v>0.17055359999999997</v>
      </c>
      <c r="F27" s="49">
        <f t="shared" si="1"/>
        <v>9.9453823999999996E-2</v>
      </c>
      <c r="G27" s="49">
        <f t="shared" si="2"/>
        <v>0.3618486528</v>
      </c>
      <c r="H27" s="1">
        <f t="shared" si="5"/>
        <v>0.308576448</v>
      </c>
      <c r="I27" s="39"/>
      <c r="J27" s="45">
        <f t="shared" si="6"/>
        <v>399.28746636799997</v>
      </c>
      <c r="K27" s="39"/>
      <c r="L27" s="49">
        <f t="shared" si="4"/>
        <v>5.6851199999999992E-3</v>
      </c>
      <c r="M27" s="44"/>
      <c r="N27" s="42">
        <f>(0.88*0.88+4*0.09*0.09*0.8)/2.5</f>
        <v>0.32012799999999997</v>
      </c>
      <c r="O27" s="42">
        <f>2*(0.7+0.7)*0.8*0.09</f>
        <v>0.20159999999999997</v>
      </c>
      <c r="P27" s="42">
        <v>0.06</v>
      </c>
      <c r="Q27" s="43"/>
      <c r="R27" s="42">
        <f>3*N27*2*0.1+0.09*0.09*0.8*4</f>
        <v>0.21799679999999999</v>
      </c>
      <c r="S27" s="42"/>
      <c r="T27" s="42">
        <f>4*(0.7+0.7)/2*0.8</f>
        <v>2.2399999999999998</v>
      </c>
      <c r="U27" s="42"/>
      <c r="V27" s="42"/>
      <c r="W27" s="7">
        <f>40*R27</f>
        <v>8.7198719999999987</v>
      </c>
      <c r="X27" s="43"/>
      <c r="Y27" s="2"/>
      <c r="Z27" s="2"/>
    </row>
    <row r="28" spans="1:26" ht="16.5" thickBot="1" x14ac:dyDescent="0.3">
      <c r="A28" s="4"/>
      <c r="B28" s="4"/>
      <c r="C28" s="3" t="s">
        <v>42</v>
      </c>
      <c r="D28" s="9"/>
      <c r="E28" s="1">
        <f t="shared" si="0"/>
        <v>0.28019519999999998</v>
      </c>
      <c r="F28" s="1">
        <f t="shared" si="1"/>
        <v>0.14735024000000002</v>
      </c>
      <c r="G28" s="1">
        <f t="shared" si="2"/>
        <v>0.52819569600000005</v>
      </c>
      <c r="H28" s="1">
        <f t="shared" si="5"/>
        <v>0.43353936000000004</v>
      </c>
      <c r="I28" s="5"/>
      <c r="J28" s="45">
        <f t="shared" si="6"/>
        <v>607.73563376000004</v>
      </c>
      <c r="K28" s="5"/>
      <c r="L28" s="1">
        <f t="shared" si="4"/>
        <v>9.3398400000000003E-3</v>
      </c>
      <c r="M28" s="6"/>
      <c r="N28" s="7">
        <f>(1.1*1.1+4*0.09*0.09*1)/2.5</f>
        <v>0.49696000000000007</v>
      </c>
      <c r="O28" s="7">
        <f>2*(0.92+0.92)*1*0.09</f>
        <v>0.33119999999999999</v>
      </c>
      <c r="P28" s="7">
        <v>0.06</v>
      </c>
      <c r="Q28" s="8"/>
      <c r="R28" s="7">
        <f>3*N28*2*0.1+0.09*0.09*1*4</f>
        <v>0.33057600000000004</v>
      </c>
      <c r="S28" s="7"/>
      <c r="T28" s="7">
        <f>4*(0.92+0.92)/2*1</f>
        <v>3.68</v>
      </c>
      <c r="U28" s="7"/>
      <c r="V28" s="7"/>
      <c r="W28" s="7">
        <f t="shared" ref="W28:W31" si="11">40*R28</f>
        <v>13.223040000000001</v>
      </c>
      <c r="X28" s="8"/>
    </row>
    <row r="29" spans="1:26" ht="16.5" thickBot="1" x14ac:dyDescent="0.3">
      <c r="A29" s="4"/>
      <c r="B29" s="4"/>
      <c r="C29" s="3" t="s">
        <v>30</v>
      </c>
      <c r="D29" s="9"/>
      <c r="E29" s="1">
        <f t="shared" si="0"/>
        <v>0.6822144</v>
      </c>
      <c r="F29" s="1">
        <f t="shared" si="1"/>
        <v>0.25613760000000002</v>
      </c>
      <c r="G29" s="1">
        <f t="shared" si="2"/>
        <v>0.95694329600000005</v>
      </c>
      <c r="H29" s="1">
        <f t="shared" si="5"/>
        <v>0.70038336000000012</v>
      </c>
      <c r="I29" s="5"/>
      <c r="J29" s="45">
        <f t="shared" si="6"/>
        <v>1110.7009230933334</v>
      </c>
      <c r="K29" s="5"/>
      <c r="L29" s="1">
        <f t="shared" si="4"/>
        <v>2.274048E-2</v>
      </c>
      <c r="M29" s="6"/>
      <c r="N29" s="7">
        <f>(1.48*1.48+4*0.14*0.14*1.2)/3</f>
        <v>0.76149333333333324</v>
      </c>
      <c r="O29" s="7">
        <f>2*(1.2+1.2)*1.2*0.14</f>
        <v>0.80640000000000001</v>
      </c>
      <c r="P29" s="7">
        <v>0.08</v>
      </c>
      <c r="Q29" s="8"/>
      <c r="R29" s="7">
        <f>3*N29*2*0.1+0.14*0.14*1.2*4</f>
        <v>0.55097600000000002</v>
      </c>
      <c r="S29" s="7"/>
      <c r="T29" s="7">
        <f>4*(1.2+1.2)/2*1.2</f>
        <v>5.76</v>
      </c>
      <c r="U29" s="7"/>
      <c r="V29" s="7"/>
      <c r="W29" s="7">
        <f t="shared" si="11"/>
        <v>22.03904</v>
      </c>
      <c r="X29" s="8"/>
    </row>
    <row r="30" spans="1:26" ht="16.5" thickBot="1" x14ac:dyDescent="0.3">
      <c r="A30" s="4"/>
      <c r="B30" s="4"/>
      <c r="C30" s="3" t="s">
        <v>31</v>
      </c>
      <c r="D30" s="9"/>
      <c r="E30" s="1">
        <f t="shared" si="0"/>
        <v>0.92856959999999988</v>
      </c>
      <c r="F30" s="1">
        <f t="shared" si="1"/>
        <v>0.33109503999999995</v>
      </c>
      <c r="G30" s="1">
        <f t="shared" si="2"/>
        <v>1.2541824319999999</v>
      </c>
      <c r="H30" s="1">
        <f t="shared" si="5"/>
        <v>0.89487311999999997</v>
      </c>
      <c r="I30" s="5"/>
      <c r="J30" s="45">
        <f t="shared" si="6"/>
        <v>1443.4658685866666</v>
      </c>
      <c r="K30" s="5"/>
      <c r="L30" s="1">
        <f t="shared" si="4"/>
        <v>3.0952319999999998E-2</v>
      </c>
      <c r="M30" s="6"/>
      <c r="N30" s="7">
        <f>(1.68*1.68+4*0.14*0.14*1.4)/3</f>
        <v>0.97738666666666651</v>
      </c>
      <c r="O30" s="7">
        <f>2*(1.4+1.4)*1.4*0.14</f>
        <v>1.0975999999999999</v>
      </c>
      <c r="P30" s="7">
        <v>0.11</v>
      </c>
      <c r="Q30" s="8"/>
      <c r="R30" s="7">
        <f>3*N30*2*0.1+0.14*0.14*1.4*4</f>
        <v>0.69619199999999992</v>
      </c>
      <c r="S30" s="7"/>
      <c r="T30" s="7">
        <f>4*(1.4+1.4)/2*1.4</f>
        <v>7.839999999999999</v>
      </c>
      <c r="U30" s="7"/>
      <c r="V30" s="7"/>
      <c r="W30" s="7">
        <f t="shared" si="11"/>
        <v>27.847679999999997</v>
      </c>
      <c r="X30" s="8"/>
    </row>
    <row r="31" spans="1:26" ht="16.5" thickBot="1" x14ac:dyDescent="0.3">
      <c r="A31" s="4"/>
      <c r="B31" s="4"/>
      <c r="C31" s="3" t="s">
        <v>32</v>
      </c>
      <c r="D31" s="9"/>
      <c r="E31" s="1">
        <f t="shared" si="0"/>
        <v>1.3189478400000001</v>
      </c>
      <c r="F31" s="1">
        <f t="shared" si="1"/>
        <v>0.45250179200000007</v>
      </c>
      <c r="G31" s="1">
        <f t="shared" si="2"/>
        <v>1.7334338080000002</v>
      </c>
      <c r="H31" s="1">
        <f t="shared" si="5"/>
        <v>1.2150148800000002</v>
      </c>
      <c r="I31" s="5"/>
      <c r="J31" s="45">
        <f t="shared" si="6"/>
        <v>1983.5091594133335</v>
      </c>
      <c r="K31" s="5"/>
      <c r="L31" s="1">
        <f t="shared" si="4"/>
        <v>4.3964928000000007E-2</v>
      </c>
      <c r="M31" s="6"/>
      <c r="N31" s="7">
        <f>(1.98*1.98+4*0.14*0.14*1.6)/3</f>
        <v>1.3486133333333334</v>
      </c>
      <c r="O31" s="7">
        <f>2*(1.7+1.78)*1.6*0.14</f>
        <v>1.5590400000000002</v>
      </c>
      <c r="P31" s="7">
        <v>0.16</v>
      </c>
      <c r="Q31" s="8"/>
      <c r="R31" s="7">
        <f>3*N31*2*0.1+0.14*0.14*1.6*4</f>
        <v>0.93460800000000011</v>
      </c>
      <c r="S31" s="7"/>
      <c r="T31" s="7">
        <f>4*(1.7+1.7)/2*1.6</f>
        <v>10.88</v>
      </c>
      <c r="U31" s="7"/>
      <c r="V31" s="7"/>
      <c r="W31" s="7">
        <f t="shared" si="11"/>
        <v>37.384320000000002</v>
      </c>
      <c r="X31" s="8"/>
    </row>
    <row r="32" spans="1:26" ht="16.5" thickBot="1" x14ac:dyDescent="0.3">
      <c r="A32" s="4"/>
      <c r="B32" s="4"/>
      <c r="C32" s="3" t="s">
        <v>120</v>
      </c>
      <c r="D32" s="9"/>
      <c r="E32" s="1">
        <f t="shared" si="0"/>
        <v>0</v>
      </c>
      <c r="F32" s="1">
        <f t="shared" si="1"/>
        <v>0.1320288</v>
      </c>
      <c r="G32" s="1">
        <f t="shared" si="2"/>
        <v>0.40193856</v>
      </c>
      <c r="H32" s="1">
        <f t="shared" si="5"/>
        <v>0.47436960000000006</v>
      </c>
      <c r="I32" s="5"/>
      <c r="J32" s="45">
        <f t="shared" si="6"/>
        <v>423.93761941333332</v>
      </c>
      <c r="K32" s="5"/>
      <c r="L32" s="1">
        <f t="shared" si="4"/>
        <v>0</v>
      </c>
      <c r="M32" s="6"/>
      <c r="N32" s="7">
        <f>N37/2</f>
        <v>0.94933333333333358</v>
      </c>
      <c r="O32" s="7"/>
      <c r="P32" s="7">
        <v>0.06</v>
      </c>
      <c r="Q32" s="8"/>
      <c r="R32" s="7">
        <f>(4*0.8*0.12*(0.7+0.88)/2+(0.8*0.8)*0.1)</f>
        <v>0.36736000000000002</v>
      </c>
      <c r="S32" s="7"/>
      <c r="T32" s="7"/>
      <c r="U32" s="7"/>
      <c r="V32" s="7"/>
      <c r="W32" s="7">
        <f>W27</f>
        <v>8.7198719999999987</v>
      </c>
      <c r="X32" s="8"/>
    </row>
    <row r="33" spans="1:24" ht="16.5" thickBot="1" x14ac:dyDescent="0.3">
      <c r="A33" s="4"/>
      <c r="B33" s="4"/>
      <c r="C33" s="3" t="s">
        <v>121</v>
      </c>
      <c r="D33" s="9"/>
      <c r="E33" s="1">
        <f t="shared" si="0"/>
        <v>0</v>
      </c>
      <c r="F33" s="1">
        <f t="shared" si="1"/>
        <v>0.20444730000000003</v>
      </c>
      <c r="G33" s="1">
        <f t="shared" si="2"/>
        <v>0.60405201000000008</v>
      </c>
      <c r="H33" s="1">
        <f t="shared" si="5"/>
        <v>0.71795910000000007</v>
      </c>
      <c r="I33" s="5"/>
      <c r="J33" s="45">
        <f t="shared" si="6"/>
        <v>651.35712903333342</v>
      </c>
      <c r="K33" s="5"/>
      <c r="L33" s="1">
        <f t="shared" si="4"/>
        <v>0</v>
      </c>
      <c r="M33" s="6"/>
      <c r="N33" s="7">
        <f>N38/2</f>
        <v>1.5166833333333332</v>
      </c>
      <c r="O33" s="7"/>
      <c r="P33" s="7">
        <v>0.06</v>
      </c>
      <c r="Q33" s="8"/>
      <c r="R33" s="7">
        <f>(4*1*0.12*(0.92+1.1)/2+(1.01*1.01)*0.1)</f>
        <v>0.58681000000000005</v>
      </c>
      <c r="S33" s="7"/>
      <c r="T33" s="7"/>
      <c r="U33" s="7"/>
      <c r="V33" s="7"/>
      <c r="W33" s="7">
        <f>W28</f>
        <v>13.223040000000001</v>
      </c>
      <c r="X33" s="8"/>
    </row>
    <row r="34" spans="1:24" ht="16.5" thickBot="1" x14ac:dyDescent="0.3">
      <c r="A34" s="4"/>
      <c r="B34" s="4"/>
      <c r="C34" s="3" t="s">
        <v>122</v>
      </c>
      <c r="D34" s="9"/>
      <c r="E34" s="1">
        <f t="shared" si="0"/>
        <v>0</v>
      </c>
      <c r="F34" s="1">
        <f t="shared" si="1"/>
        <v>0.38327894999999995</v>
      </c>
      <c r="G34" s="1">
        <f t="shared" si="2"/>
        <v>1.1143076149999998</v>
      </c>
      <c r="H34" s="1">
        <f t="shared" si="5"/>
        <v>1.3295746499999999</v>
      </c>
      <c r="I34" s="5"/>
      <c r="J34" s="45">
        <f t="shared" si="6"/>
        <v>1127.7190064166666</v>
      </c>
      <c r="K34" s="5"/>
      <c r="L34" s="1">
        <f t="shared" si="4"/>
        <v>0</v>
      </c>
      <c r="M34" s="6"/>
      <c r="N34" s="7">
        <f>N39/2</f>
        <v>2.4432666666666667</v>
      </c>
      <c r="O34" s="7"/>
      <c r="P34" s="7">
        <v>0.08</v>
      </c>
      <c r="Q34" s="8"/>
      <c r="R34" s="7">
        <f>(4*1.2*0.15*(1.2+1.48)/2+(1.01*1.01)*0.15)</f>
        <v>1.1178149999999998</v>
      </c>
      <c r="S34" s="7"/>
      <c r="T34" s="7"/>
      <c r="U34" s="7"/>
      <c r="V34" s="7"/>
      <c r="W34" s="7">
        <f>W29</f>
        <v>22.03904</v>
      </c>
      <c r="X34" s="8"/>
    </row>
    <row r="35" spans="1:24" ht="16.5" thickBot="1" x14ac:dyDescent="0.3">
      <c r="A35" s="4"/>
      <c r="B35" s="4"/>
      <c r="C35" s="3" t="s">
        <v>123</v>
      </c>
      <c r="D35" s="9"/>
      <c r="E35" s="1">
        <f t="shared" si="0"/>
        <v>0</v>
      </c>
      <c r="F35" s="1">
        <f t="shared" si="1"/>
        <v>0.56408220000000009</v>
      </c>
      <c r="G35" s="1">
        <f t="shared" si="2"/>
        <v>1.6356421400000001</v>
      </c>
      <c r="H35" s="1">
        <f t="shared" si="5"/>
        <v>1.9528674000000004</v>
      </c>
      <c r="I35" s="5"/>
      <c r="J35" s="45">
        <f t="shared" si="6"/>
        <v>1540.4644059333332</v>
      </c>
      <c r="K35" s="5"/>
      <c r="L35" s="1">
        <f t="shared" si="4"/>
        <v>0</v>
      </c>
      <c r="M35" s="6"/>
      <c r="N35" s="7">
        <f>N40/2</f>
        <v>3.2699333333333329</v>
      </c>
      <c r="O35" s="7"/>
      <c r="P35" s="7">
        <v>0.11</v>
      </c>
      <c r="Q35" s="8"/>
      <c r="R35" s="7">
        <f>(4*1.4*0.15*(1.4+1.68)/2+(1.54*1.54)*0.15)</f>
        <v>1.64934</v>
      </c>
      <c r="S35" s="7"/>
      <c r="T35" s="7"/>
      <c r="U35" s="7"/>
      <c r="V35" s="7"/>
      <c r="W35" s="7">
        <f>W30</f>
        <v>27.847679999999997</v>
      </c>
      <c r="X35" s="8"/>
    </row>
    <row r="36" spans="1:24" ht="16.5" thickBot="1" x14ac:dyDescent="0.3">
      <c r="A36" s="4"/>
      <c r="B36" s="4"/>
      <c r="C36" s="3" t="s">
        <v>124</v>
      </c>
      <c r="D36" s="9"/>
      <c r="E36" s="1">
        <f t="shared" si="0"/>
        <v>0</v>
      </c>
      <c r="F36" s="1">
        <f t="shared" si="1"/>
        <v>0.77929919999999997</v>
      </c>
      <c r="G36" s="1">
        <f t="shared" si="2"/>
        <v>2.26417504</v>
      </c>
      <c r="H36" s="1">
        <f t="shared" si="5"/>
        <v>2.7020064000000001</v>
      </c>
      <c r="I36" s="5"/>
      <c r="J36" s="45">
        <f t="shared" si="6"/>
        <v>2105.5847392000001</v>
      </c>
      <c r="K36" s="5"/>
      <c r="L36" s="1">
        <f t="shared" si="4"/>
        <v>0</v>
      </c>
      <c r="M36" s="6"/>
      <c r="N36" s="7">
        <f>N41/2</f>
        <v>4.4896000000000003</v>
      </c>
      <c r="O36" s="7"/>
      <c r="P36" s="7">
        <v>0.16</v>
      </c>
      <c r="Q36" s="8"/>
      <c r="R36" s="7">
        <f>(4*1.6*0.15*(1.7+1.98)/2+(1.84*1.84)*0.15)</f>
        <v>2.2742399999999998</v>
      </c>
      <c r="S36" s="7"/>
      <c r="T36" s="7"/>
      <c r="U36" s="7"/>
      <c r="V36" s="7"/>
      <c r="W36" s="7">
        <f>W31</f>
        <v>37.384320000000002</v>
      </c>
      <c r="X36" s="8"/>
    </row>
    <row r="37" spans="1:24" ht="16.5" thickBot="1" x14ac:dyDescent="0.3">
      <c r="A37" s="4"/>
      <c r="B37" s="4"/>
      <c r="C37" s="3" t="s">
        <v>125</v>
      </c>
      <c r="D37" s="9"/>
      <c r="E37" s="1">
        <f t="shared" si="0"/>
        <v>0</v>
      </c>
      <c r="F37" s="1">
        <f t="shared" si="1"/>
        <v>0.13625280000000003</v>
      </c>
      <c r="G37" s="1">
        <f t="shared" si="2"/>
        <v>0.41372736000000004</v>
      </c>
      <c r="H37" s="1">
        <f t="shared" si="5"/>
        <v>0.48857760000000011</v>
      </c>
      <c r="I37" s="5"/>
      <c r="J37" s="45">
        <f t="shared" si="6"/>
        <v>898.02175626666678</v>
      </c>
      <c r="K37" s="5"/>
      <c r="L37" s="1">
        <f t="shared" si="4"/>
        <v>0</v>
      </c>
      <c r="M37" s="6"/>
      <c r="N37" s="7">
        <f>(4*0.8*(0.7+0.88)+(0.8*0.8))/3</f>
        <v>1.8986666666666672</v>
      </c>
      <c r="O37" s="7"/>
      <c r="P37" s="7">
        <v>0.06</v>
      </c>
      <c r="Q37" s="8"/>
      <c r="R37" s="7">
        <f>(4*0.8*0.12*(0.7+0.88)/2+(0.8*0.8)*0.12)</f>
        <v>0.38016000000000005</v>
      </c>
      <c r="S37" s="7"/>
      <c r="T37" s="7"/>
      <c r="U37" s="7"/>
      <c r="V37" s="7"/>
      <c r="W37" s="7">
        <f>ROUND(R37*75,2)</f>
        <v>28.51</v>
      </c>
      <c r="X37" s="8"/>
    </row>
    <row r="38" spans="1:24" ht="16.5" thickBot="1" x14ac:dyDescent="0.3">
      <c r="A38" s="4"/>
      <c r="B38" s="4"/>
      <c r="C38" s="3" t="s">
        <v>126</v>
      </c>
      <c r="D38" s="9"/>
      <c r="E38" s="1">
        <f t="shared" si="0"/>
        <v>0</v>
      </c>
      <c r="F38" s="1">
        <f t="shared" si="1"/>
        <v>0.21117996</v>
      </c>
      <c r="G38" s="1">
        <f t="shared" si="2"/>
        <v>0.62284225199999999</v>
      </c>
      <c r="H38" s="1">
        <f t="shared" si="5"/>
        <v>0.74060532000000001</v>
      </c>
      <c r="I38" s="5"/>
      <c r="J38" s="45">
        <f t="shared" si="6"/>
        <v>1422.2802483866667</v>
      </c>
      <c r="K38" s="5"/>
      <c r="L38" s="1">
        <f t="shared" si="4"/>
        <v>0</v>
      </c>
      <c r="M38" s="6"/>
      <c r="N38" s="7">
        <f>(4*1*(0.92+1.1)+(1.01*1.01))/3</f>
        <v>3.0333666666666663</v>
      </c>
      <c r="O38" s="7"/>
      <c r="P38" s="7">
        <v>0.06</v>
      </c>
      <c r="Q38" s="8"/>
      <c r="R38" s="7">
        <f>(4*1*0.12*(0.92+1.1)/2+(1.01*1.01)*0.12)</f>
        <v>0.60721199999999997</v>
      </c>
      <c r="S38" s="7"/>
      <c r="T38" s="7"/>
      <c r="U38" s="7"/>
      <c r="V38" s="7"/>
      <c r="W38" s="7">
        <f t="shared" ref="W38" si="12">ROUND(R38*75,2)</f>
        <v>45.54</v>
      </c>
      <c r="X38" s="8"/>
    </row>
    <row r="39" spans="1:24" ht="16.5" thickBot="1" x14ac:dyDescent="0.3">
      <c r="A39" s="4"/>
      <c r="B39" s="4"/>
      <c r="C39" s="3" t="s">
        <v>127</v>
      </c>
      <c r="D39" s="9"/>
      <c r="E39" s="1">
        <f t="shared" si="0"/>
        <v>0</v>
      </c>
      <c r="F39" s="1">
        <f t="shared" si="1"/>
        <v>0.38327894999999995</v>
      </c>
      <c r="G39" s="1">
        <f t="shared" si="2"/>
        <v>1.1143076149999998</v>
      </c>
      <c r="H39" s="1">
        <f t="shared" si="5"/>
        <v>1.3295746499999999</v>
      </c>
      <c r="I39" s="5"/>
      <c r="J39" s="45">
        <f t="shared" si="6"/>
        <v>2436.5898554833334</v>
      </c>
      <c r="K39" s="5"/>
      <c r="L39" s="1">
        <f t="shared" si="4"/>
        <v>0</v>
      </c>
      <c r="M39" s="6"/>
      <c r="N39" s="7">
        <f>(4*1.2*(1.2+1.48)+(1.34*1.34))/3</f>
        <v>4.8865333333333334</v>
      </c>
      <c r="O39" s="7"/>
      <c r="P39" s="7">
        <v>0.08</v>
      </c>
      <c r="Q39" s="8"/>
      <c r="R39" s="7">
        <f>(4*1.2*0.15*(1.2+1.48)/2+(1.01*1.01)*0.15)</f>
        <v>1.1178149999999998</v>
      </c>
      <c r="S39" s="7"/>
      <c r="T39" s="7"/>
      <c r="U39" s="7"/>
      <c r="V39" s="7"/>
      <c r="W39" s="7">
        <f>ROUND(R39*70,2)</f>
        <v>78.25</v>
      </c>
      <c r="X39" s="8"/>
    </row>
    <row r="40" spans="1:24" ht="16.5" thickBot="1" x14ac:dyDescent="0.3">
      <c r="A40" s="4"/>
      <c r="B40" s="4"/>
      <c r="C40" s="3" t="s">
        <v>128</v>
      </c>
      <c r="D40" s="9"/>
      <c r="E40" s="1">
        <f t="shared" si="0"/>
        <v>0</v>
      </c>
      <c r="F40" s="1">
        <f t="shared" si="1"/>
        <v>0.56408220000000009</v>
      </c>
      <c r="G40" s="1">
        <f t="shared" si="2"/>
        <v>1.6356421400000001</v>
      </c>
      <c r="H40" s="1">
        <f t="shared" si="5"/>
        <v>1.9528674000000004</v>
      </c>
      <c r="I40" s="5"/>
      <c r="J40" s="45">
        <f t="shared" si="6"/>
        <v>3531.4724240666665</v>
      </c>
      <c r="K40" s="5"/>
      <c r="L40" s="1">
        <f t="shared" si="4"/>
        <v>0</v>
      </c>
      <c r="M40" s="6"/>
      <c r="N40" s="7">
        <f>(4*1.4*(1.4+1.68)+(1.54*1.54))/3</f>
        <v>6.5398666666666658</v>
      </c>
      <c r="O40" s="7"/>
      <c r="P40" s="7">
        <v>0.11</v>
      </c>
      <c r="Q40" s="8"/>
      <c r="R40" s="7">
        <f>(4*1.4*0.15*(1.4+1.68)/2+(1.54*1.54)*0.15)</f>
        <v>1.64934</v>
      </c>
      <c r="S40" s="7"/>
      <c r="T40" s="7"/>
      <c r="U40" s="7"/>
      <c r="V40" s="7"/>
      <c r="W40" s="7">
        <f t="shared" ref="W40:W43" si="13">ROUND(R40*70,2)</f>
        <v>115.45</v>
      </c>
      <c r="X40" s="8"/>
    </row>
    <row r="41" spans="1:24" ht="16.5" thickBot="1" x14ac:dyDescent="0.3">
      <c r="A41" s="4"/>
      <c r="B41" s="4"/>
      <c r="C41" s="3" t="s">
        <v>129</v>
      </c>
      <c r="D41" s="9"/>
      <c r="E41" s="1">
        <f t="shared" si="0"/>
        <v>0</v>
      </c>
      <c r="F41" s="1">
        <f t="shared" si="1"/>
        <v>0.77929919999999997</v>
      </c>
      <c r="G41" s="1">
        <f t="shared" si="2"/>
        <v>2.26417504</v>
      </c>
      <c r="H41" s="1">
        <f t="shared" si="5"/>
        <v>2.7020064000000001</v>
      </c>
      <c r="I41" s="5"/>
      <c r="J41" s="45">
        <f t="shared" si="6"/>
        <v>4868.9760864</v>
      </c>
      <c r="K41" s="5"/>
      <c r="L41" s="1">
        <f t="shared" si="4"/>
        <v>0</v>
      </c>
      <c r="M41" s="6"/>
      <c r="N41" s="7">
        <f>(4*1.6*(1.7+1.98)+(1.84*1.84))/3</f>
        <v>8.9792000000000005</v>
      </c>
      <c r="O41" s="7"/>
      <c r="P41" s="7">
        <v>0.16</v>
      </c>
      <c r="Q41" s="8"/>
      <c r="R41" s="7">
        <f>(4*1.6*0.15*(1.7+1.98)/2+(1.84*1.84)*0.15)</f>
        <v>2.2742399999999998</v>
      </c>
      <c r="S41" s="7"/>
      <c r="T41" s="7"/>
      <c r="U41" s="7"/>
      <c r="V41" s="7"/>
      <c r="W41" s="7">
        <f t="shared" si="13"/>
        <v>159.19999999999999</v>
      </c>
      <c r="X41" s="8"/>
    </row>
    <row r="42" spans="1:24" ht="16.5" thickBot="1" x14ac:dyDescent="0.3">
      <c r="A42" s="4"/>
      <c r="B42" s="4"/>
      <c r="C42" s="3" t="s">
        <v>130</v>
      </c>
      <c r="D42" s="9"/>
      <c r="E42" s="1">
        <f t="shared" si="0"/>
        <v>0</v>
      </c>
      <c r="F42" s="1">
        <f t="shared" si="1"/>
        <v>1.2096229499999998</v>
      </c>
      <c r="G42" s="1">
        <f t="shared" si="2"/>
        <v>3.5097804149999998</v>
      </c>
      <c r="H42" s="1">
        <f t="shared" si="5"/>
        <v>4.18982265</v>
      </c>
      <c r="I42" s="5"/>
      <c r="J42" s="45">
        <f t="shared" si="6"/>
        <v>7247.9917271499999</v>
      </c>
      <c r="K42" s="5"/>
      <c r="L42" s="1">
        <f t="shared" si="4"/>
        <v>0</v>
      </c>
      <c r="M42" s="6"/>
      <c r="N42" s="7">
        <f>(4*2*(2.1+2.48)+(2.29*2.29))/4</f>
        <v>10.471025000000001</v>
      </c>
      <c r="O42" s="7"/>
      <c r="P42" s="7">
        <v>0.24</v>
      </c>
      <c r="Q42" s="8"/>
      <c r="R42" s="7">
        <f>(4*2*0.15*(2.1+2.48)/2+(2.29*2.29)*0.15)</f>
        <v>3.5346149999999996</v>
      </c>
      <c r="S42" s="7"/>
      <c r="T42" s="7"/>
      <c r="U42" s="7"/>
      <c r="V42" s="7"/>
      <c r="W42" s="7">
        <f t="shared" si="13"/>
        <v>247.42</v>
      </c>
      <c r="X42" s="8"/>
    </row>
    <row r="43" spans="1:24" ht="16.5" thickBot="1" x14ac:dyDescent="0.3">
      <c r="A43" s="4"/>
      <c r="B43" s="4"/>
      <c r="C43" s="3" t="s">
        <v>131</v>
      </c>
      <c r="D43" s="9"/>
      <c r="E43" s="1">
        <f t="shared" si="0"/>
        <v>0</v>
      </c>
      <c r="F43" s="1">
        <f t="shared" si="1"/>
        <v>1.9087789500000001</v>
      </c>
      <c r="G43" s="1">
        <f t="shared" si="2"/>
        <v>5.5279776150000002</v>
      </c>
      <c r="H43" s="1">
        <f t="shared" si="5"/>
        <v>6.6020746500000005</v>
      </c>
      <c r="I43" s="5"/>
      <c r="J43" s="45">
        <f t="shared" si="6"/>
        <v>11450.372339149999</v>
      </c>
      <c r="K43" s="5"/>
      <c r="L43" s="1">
        <f t="shared" si="4"/>
        <v>0</v>
      </c>
      <c r="M43" s="6"/>
      <c r="N43" s="7">
        <f>(4*2.5*(2.7+3.08)+(2.89*2.89))/4</f>
        <v>16.538025000000001</v>
      </c>
      <c r="O43" s="7"/>
      <c r="P43" s="7">
        <v>0.36</v>
      </c>
      <c r="Q43" s="8"/>
      <c r="R43" s="7">
        <f>(4*2.5*0.15*(2.7+3.08)/2+(2.89*2.89)*0.15)</f>
        <v>5.587815</v>
      </c>
      <c r="S43" s="7"/>
      <c r="T43" s="7"/>
      <c r="U43" s="7"/>
      <c r="V43" s="7"/>
      <c r="W43" s="7">
        <f t="shared" si="13"/>
        <v>391.15</v>
      </c>
      <c r="X43" s="8"/>
    </row>
    <row r="44" spans="1:24" ht="16.5" thickBot="1" x14ac:dyDescent="0.3">
      <c r="A44" s="4"/>
      <c r="B44" s="4"/>
      <c r="C44" s="3" t="s">
        <v>57</v>
      </c>
      <c r="D44" s="9"/>
      <c r="E44" s="1">
        <f t="shared" si="0"/>
        <v>0.54144000000000003</v>
      </c>
      <c r="F44" s="1">
        <f t="shared" si="1"/>
        <v>0.35276220000000008</v>
      </c>
      <c r="G44" s="1">
        <f t="shared" si="2"/>
        <v>1.1888125000000003</v>
      </c>
      <c r="H44" s="1">
        <f t="shared" si="5"/>
        <v>1.1100000000000001</v>
      </c>
      <c r="I44" s="5">
        <v>1</v>
      </c>
      <c r="J44" s="45">
        <f t="shared" si="6"/>
        <v>2080.0031349999999</v>
      </c>
      <c r="K44" s="5">
        <v>1</v>
      </c>
      <c r="L44" s="1">
        <f t="shared" si="4"/>
        <v>1.8048000000000002E-2</v>
      </c>
      <c r="M44" s="6"/>
      <c r="N44" s="7">
        <f>ROUND((4.9+2*0.5)/5,2)</f>
        <v>1.18</v>
      </c>
      <c r="O44" s="7">
        <f>ROUND((1.285*0.5),2)</f>
        <v>0.64</v>
      </c>
      <c r="P44" s="7">
        <v>0.1</v>
      </c>
      <c r="Q44" s="8"/>
      <c r="R44" s="7">
        <f>ROUND((0.8 +0.205 *0.5),2)</f>
        <v>0.9</v>
      </c>
      <c r="S44" s="7"/>
      <c r="T44" s="7">
        <f>ROUND((0.12 *0.5),2)</f>
        <v>0.06</v>
      </c>
      <c r="U44" s="7"/>
      <c r="V44" s="7"/>
      <c r="W44" s="7">
        <f>ROUND((21.07 +8.54 *0.5),2)</f>
        <v>25.34</v>
      </c>
      <c r="X44" s="8"/>
    </row>
    <row r="45" spans="1:24" ht="16.5" thickBot="1" x14ac:dyDescent="0.3">
      <c r="A45" s="4"/>
      <c r="B45" s="4"/>
      <c r="C45" s="3" t="s">
        <v>58</v>
      </c>
      <c r="D45" s="9"/>
      <c r="E45" s="1">
        <f t="shared" si="0"/>
        <v>0.76139999999999997</v>
      </c>
      <c r="F45" s="1">
        <f t="shared" si="1"/>
        <v>0.38489359999999995</v>
      </c>
      <c r="G45" s="1">
        <f t="shared" si="2"/>
        <v>1.3499699999999999</v>
      </c>
      <c r="H45" s="1">
        <f t="shared" si="5"/>
        <v>1.1766000000000001</v>
      </c>
      <c r="I45" s="5">
        <v>1</v>
      </c>
      <c r="J45" s="45">
        <f t="shared" si="6"/>
        <v>2257.2565800000002</v>
      </c>
      <c r="K45" s="5">
        <v>1</v>
      </c>
      <c r="L45" s="1">
        <f t="shared" si="4"/>
        <v>2.538E-2</v>
      </c>
      <c r="M45" s="6"/>
      <c r="N45" s="7">
        <f>ROUND((4.9+2*0.7)/5,2)</f>
        <v>1.26</v>
      </c>
      <c r="O45" s="7">
        <f>ROUND((1.285*0.7),2)</f>
        <v>0.9</v>
      </c>
      <c r="P45" s="7">
        <v>0.12</v>
      </c>
      <c r="Q45" s="8"/>
      <c r="R45" s="7">
        <f>ROUND((0.8 +0.205 *0.7),2)</f>
        <v>0.94</v>
      </c>
      <c r="S45" s="7"/>
      <c r="T45" s="7">
        <f>ROUND((0.12 *0.7),2)</f>
        <v>0.08</v>
      </c>
      <c r="U45" s="7"/>
      <c r="V45" s="7"/>
      <c r="W45" s="7">
        <f>ROUND((21.07 +8.54 *0.7),2)</f>
        <v>27.05</v>
      </c>
      <c r="X45" s="8"/>
    </row>
    <row r="46" spans="1:24" ht="16.5" thickBot="1" x14ac:dyDescent="0.3">
      <c r="A46" s="4"/>
      <c r="B46" s="4"/>
      <c r="C46" s="3" t="s">
        <v>59</v>
      </c>
      <c r="D46" s="9"/>
      <c r="E46" s="1">
        <f t="shared" si="0"/>
        <v>1.09134</v>
      </c>
      <c r="F46" s="1">
        <f t="shared" si="1"/>
        <v>0.43281240000000004</v>
      </c>
      <c r="G46" s="1">
        <f t="shared" si="2"/>
        <v>1.5797950000000001</v>
      </c>
      <c r="H46" s="1">
        <f t="shared" si="5"/>
        <v>1.2654000000000003</v>
      </c>
      <c r="I46" s="5">
        <v>1</v>
      </c>
      <c r="J46" s="45">
        <f t="shared" si="6"/>
        <v>2520.3011699999997</v>
      </c>
      <c r="K46" s="5">
        <v>1</v>
      </c>
      <c r="L46" s="1">
        <f t="shared" si="4"/>
        <v>3.6378000000000001E-2</v>
      </c>
      <c r="M46" s="6"/>
      <c r="N46" s="7">
        <f>ROUND((4.9+2*1)/5,2)</f>
        <v>1.38</v>
      </c>
      <c r="O46" s="7">
        <f>ROUND((1.285*1),2)</f>
        <v>1.29</v>
      </c>
      <c r="P46" s="7">
        <v>0.13</v>
      </c>
      <c r="Q46" s="8">
        <f>(Q45+Q47)/2</f>
        <v>0</v>
      </c>
      <c r="R46" s="7">
        <f>ROUND((0.8 +0.205 *1),2)</f>
        <v>1.01</v>
      </c>
      <c r="S46" s="7"/>
      <c r="T46" s="7">
        <f>ROUND((0.12 *1),2)</f>
        <v>0.12</v>
      </c>
      <c r="U46" s="7"/>
      <c r="V46" s="7"/>
      <c r="W46" s="7">
        <f>ROUND((21.07 +8.54 *1),2)</f>
        <v>29.61</v>
      </c>
      <c r="X46" s="8"/>
    </row>
    <row r="47" spans="1:24" ht="16.5" thickBot="1" x14ac:dyDescent="0.3">
      <c r="A47" s="4"/>
      <c r="B47" s="4"/>
      <c r="C47" s="3" t="s">
        <v>60</v>
      </c>
      <c r="D47" s="9"/>
      <c r="E47" s="1">
        <f t="shared" si="0"/>
        <v>1.30284</v>
      </c>
      <c r="F47" s="1">
        <f t="shared" si="1"/>
        <v>0.46255580000000002</v>
      </c>
      <c r="G47" s="1">
        <f t="shared" si="2"/>
        <v>1.7263925000000002</v>
      </c>
      <c r="H47" s="1">
        <f t="shared" si="5"/>
        <v>1.3209000000000002</v>
      </c>
      <c r="I47" s="5">
        <v>1</v>
      </c>
      <c r="J47" s="45">
        <f t="shared" si="6"/>
        <v>2689.7708149999999</v>
      </c>
      <c r="K47" s="5">
        <v>1</v>
      </c>
      <c r="L47" s="1">
        <f t="shared" si="4"/>
        <v>4.3428000000000001E-2</v>
      </c>
      <c r="M47" s="6"/>
      <c r="N47" s="7">
        <f>ROUND((4.9+2*1.2)/5,2)</f>
        <v>1.46</v>
      </c>
      <c r="O47" s="7">
        <f>ROUND((1.285*1.2),2)</f>
        <v>1.54</v>
      </c>
      <c r="P47" s="7">
        <v>0.14000000000000001</v>
      </c>
      <c r="Q47" s="8"/>
      <c r="R47" s="7">
        <f>ROUND((0.8 +0.205 *1.2),2)</f>
        <v>1.05</v>
      </c>
      <c r="S47" s="7"/>
      <c r="T47" s="7">
        <f>ROUND((0.12 *1.2),2)</f>
        <v>0.14000000000000001</v>
      </c>
      <c r="U47" s="7"/>
      <c r="V47" s="7"/>
      <c r="W47" s="7">
        <f>ROUND((21.07 +8.54 *1.2),2)</f>
        <v>31.32</v>
      </c>
      <c r="X47" s="8"/>
    </row>
    <row r="48" spans="1:24" ht="16.5" thickBot="1" x14ac:dyDescent="0.3">
      <c r="A48" s="4"/>
      <c r="B48" s="4"/>
      <c r="C48" s="3" t="s">
        <v>61</v>
      </c>
      <c r="D48" s="9"/>
      <c r="E48" s="1">
        <f t="shared" si="0"/>
        <v>1.6327799999999999</v>
      </c>
      <c r="F48" s="1">
        <f t="shared" si="1"/>
        <v>0.50537460000000012</v>
      </c>
      <c r="G48" s="1">
        <f t="shared" si="2"/>
        <v>1.9364075000000001</v>
      </c>
      <c r="H48" s="1">
        <f t="shared" si="5"/>
        <v>1.3875000000000002</v>
      </c>
      <c r="I48" s="5">
        <v>1</v>
      </c>
      <c r="J48" s="45">
        <f t="shared" si="6"/>
        <v>2945.3635049999993</v>
      </c>
      <c r="K48" s="5">
        <v>1</v>
      </c>
      <c r="L48" s="1">
        <f t="shared" si="4"/>
        <v>5.4425999999999995E-2</v>
      </c>
      <c r="M48" s="6"/>
      <c r="N48" s="7">
        <f>ROUND((4.9+2*1.5)/5,2)</f>
        <v>1.58</v>
      </c>
      <c r="O48" s="7">
        <f>ROUND((1.285*1.5),2)</f>
        <v>1.93</v>
      </c>
      <c r="P48" s="7">
        <v>0.14000000000000001</v>
      </c>
      <c r="Q48" s="8"/>
      <c r="R48" s="7">
        <f>ROUND((0.8 +0.205 *1.5),2)</f>
        <v>1.1100000000000001</v>
      </c>
      <c r="S48" s="7"/>
      <c r="T48" s="7">
        <f>ROUND((0.12 *1.5),2)</f>
        <v>0.18</v>
      </c>
      <c r="U48" s="7"/>
      <c r="V48" s="7"/>
      <c r="W48" s="7">
        <f>ROUND((21.07 +8.54 *1.5),2)</f>
        <v>33.880000000000003</v>
      </c>
      <c r="X48" s="8"/>
    </row>
    <row r="49" spans="1:24" ht="16.5" thickBot="1" x14ac:dyDescent="0.3">
      <c r="A49" s="4"/>
      <c r="B49" s="4"/>
      <c r="C49" s="3" t="s">
        <v>62</v>
      </c>
      <c r="D49" s="9"/>
      <c r="E49" s="1">
        <f t="shared" si="0"/>
        <v>0</v>
      </c>
      <c r="F49" s="1">
        <f t="shared" si="1"/>
        <v>0.38250000000000006</v>
      </c>
      <c r="G49" s="1">
        <f t="shared" si="2"/>
        <v>1.1483800000000002</v>
      </c>
      <c r="H49" s="1">
        <f t="shared" si="5"/>
        <v>1.35975</v>
      </c>
      <c r="I49" s="5">
        <v>1</v>
      </c>
      <c r="J49" s="45">
        <f t="shared" si="6"/>
        <v>1388.1369</v>
      </c>
      <c r="K49" s="5">
        <v>1</v>
      </c>
      <c r="L49" s="1">
        <f t="shared" si="4"/>
        <v>0</v>
      </c>
      <c r="M49" s="6"/>
      <c r="N49" s="7">
        <f>N54/2</f>
        <v>1.075</v>
      </c>
      <c r="O49" s="7"/>
      <c r="P49" s="7">
        <f>P54</f>
        <v>0.14499999999999999</v>
      </c>
      <c r="Q49" s="8"/>
      <c r="R49" s="7">
        <f>R54</f>
        <v>1.08</v>
      </c>
      <c r="S49" s="7"/>
      <c r="T49" s="7"/>
      <c r="U49" s="7"/>
      <c r="V49" s="7"/>
      <c r="W49" s="7"/>
      <c r="X49" s="8"/>
    </row>
    <row r="50" spans="1:24" ht="16.5" thickBot="1" x14ac:dyDescent="0.3">
      <c r="A50" s="4"/>
      <c r="B50" s="4"/>
      <c r="C50" s="3" t="s">
        <v>63</v>
      </c>
      <c r="D50" s="9"/>
      <c r="E50" s="1">
        <f t="shared" si="0"/>
        <v>0</v>
      </c>
      <c r="F50" s="1">
        <f t="shared" si="1"/>
        <v>0.43200000000000005</v>
      </c>
      <c r="G50" s="1">
        <f t="shared" si="2"/>
        <v>1.28653</v>
      </c>
      <c r="H50" s="1">
        <f t="shared" si="5"/>
        <v>1.5262500000000001</v>
      </c>
      <c r="I50" s="5">
        <v>1</v>
      </c>
      <c r="J50" s="45">
        <f t="shared" si="6"/>
        <v>1471.5483999999999</v>
      </c>
      <c r="K50" s="5">
        <v>1</v>
      </c>
      <c r="L50" s="1">
        <f t="shared" si="4"/>
        <v>0</v>
      </c>
      <c r="M50" s="6"/>
      <c r="N50" s="7">
        <f>N55/2</f>
        <v>1.325</v>
      </c>
      <c r="O50" s="7"/>
      <c r="P50" s="7">
        <f>P55</f>
        <v>0.14499999999999999</v>
      </c>
      <c r="Q50" s="8"/>
      <c r="R50" s="7">
        <f>R55</f>
        <v>1.23</v>
      </c>
      <c r="S50" s="7"/>
      <c r="T50" s="7"/>
      <c r="U50" s="7"/>
      <c r="V50" s="7"/>
      <c r="W50" s="7"/>
      <c r="X50" s="8"/>
    </row>
    <row r="51" spans="1:24" ht="16.5" thickBot="1" x14ac:dyDescent="0.3">
      <c r="A51" s="4"/>
      <c r="B51" s="4"/>
      <c r="C51" s="3" t="s">
        <v>64</v>
      </c>
      <c r="D51" s="9"/>
      <c r="E51" s="1">
        <f t="shared" si="0"/>
        <v>0</v>
      </c>
      <c r="F51" s="1">
        <f t="shared" si="1"/>
        <v>0.50459999999999994</v>
      </c>
      <c r="G51" s="1">
        <f t="shared" si="2"/>
        <v>1.48915</v>
      </c>
      <c r="H51" s="1">
        <f t="shared" si="5"/>
        <v>1.7704500000000001</v>
      </c>
      <c r="I51" s="5">
        <v>1</v>
      </c>
      <c r="J51" s="45">
        <f t="shared" si="6"/>
        <v>1594.6416000000002</v>
      </c>
      <c r="K51" s="5">
        <v>1</v>
      </c>
      <c r="L51" s="1">
        <f t="shared" si="4"/>
        <v>0</v>
      </c>
      <c r="M51" s="6"/>
      <c r="N51" s="7">
        <f>N56/2</f>
        <v>1.7</v>
      </c>
      <c r="O51" s="7">
        <f>(O50+O52)/2</f>
        <v>0</v>
      </c>
      <c r="P51" s="7">
        <f>P56</f>
        <v>0.14499999999999999</v>
      </c>
      <c r="Q51" s="8">
        <f>(Q50+Q52)/2</f>
        <v>0</v>
      </c>
      <c r="R51" s="7">
        <f>R56</f>
        <v>1.45</v>
      </c>
      <c r="S51" s="7"/>
      <c r="T51" s="7">
        <f>(T50+T52)/2</f>
        <v>0</v>
      </c>
      <c r="U51" s="7"/>
      <c r="V51" s="7"/>
      <c r="W51" s="7"/>
      <c r="X51" s="8"/>
    </row>
    <row r="52" spans="1:24" ht="16.5" thickBot="1" x14ac:dyDescent="0.3">
      <c r="A52" s="4"/>
      <c r="B52" s="4"/>
      <c r="C52" s="3" t="s">
        <v>65</v>
      </c>
      <c r="D52" s="9"/>
      <c r="E52" s="1">
        <f t="shared" si="0"/>
        <v>0</v>
      </c>
      <c r="F52" s="1">
        <f t="shared" si="1"/>
        <v>0.6411</v>
      </c>
      <c r="G52" s="1">
        <f t="shared" si="2"/>
        <v>1.8840500000000002</v>
      </c>
      <c r="H52" s="1">
        <f t="shared" si="5"/>
        <v>2.2422</v>
      </c>
      <c r="I52" s="5">
        <v>1</v>
      </c>
      <c r="J52" s="45">
        <f t="shared" si="6"/>
        <v>1783.2270999999998</v>
      </c>
      <c r="K52" s="5">
        <v>1</v>
      </c>
      <c r="L52" s="1">
        <f t="shared" si="4"/>
        <v>0</v>
      </c>
      <c r="M52" s="6"/>
      <c r="N52" s="7">
        <f>N57/2</f>
        <v>1.9</v>
      </c>
      <c r="O52" s="7"/>
      <c r="P52" s="7">
        <f>P57</f>
        <v>0.17</v>
      </c>
      <c r="Q52" s="8"/>
      <c r="R52" s="7">
        <f>R57</f>
        <v>1.85</v>
      </c>
      <c r="S52" s="7"/>
      <c r="T52" s="7"/>
      <c r="U52" s="7"/>
      <c r="V52" s="7"/>
      <c r="W52" s="7"/>
      <c r="X52" s="8"/>
    </row>
    <row r="53" spans="1:24" ht="16.5" thickBot="1" x14ac:dyDescent="0.3">
      <c r="A53" s="4"/>
      <c r="B53" s="4"/>
      <c r="C53" s="3" t="s">
        <v>66</v>
      </c>
      <c r="D53" s="9"/>
      <c r="E53" s="1">
        <f t="shared" si="0"/>
        <v>0</v>
      </c>
      <c r="F53" s="1">
        <f t="shared" si="1"/>
        <v>0.80657999999999996</v>
      </c>
      <c r="G53" s="1">
        <f t="shared" si="2"/>
        <v>2.3575999999999997</v>
      </c>
      <c r="H53" s="1">
        <f t="shared" si="5"/>
        <v>2.8094099999999997</v>
      </c>
      <c r="I53" s="5">
        <v>1</v>
      </c>
      <c r="J53" s="45">
        <f t="shared" si="6"/>
        <v>2005.9763799999998</v>
      </c>
      <c r="K53" s="5">
        <v>1</v>
      </c>
      <c r="L53" s="1">
        <f t="shared" si="4"/>
        <v>0</v>
      </c>
      <c r="M53" s="6"/>
      <c r="N53" s="7">
        <f>N58/2</f>
        <v>2.09</v>
      </c>
      <c r="O53" s="7"/>
      <c r="P53" s="7">
        <f>P58</f>
        <v>0.191</v>
      </c>
      <c r="Q53" s="8"/>
      <c r="R53" s="7">
        <f>R58</f>
        <v>2.34</v>
      </c>
      <c r="S53" s="7"/>
      <c r="T53" s="7"/>
      <c r="U53" s="7"/>
      <c r="V53" s="7"/>
      <c r="W53" s="7"/>
      <c r="X53" s="8"/>
    </row>
    <row r="54" spans="1:24" ht="16.5" thickBot="1" x14ac:dyDescent="0.3">
      <c r="A54" s="4"/>
      <c r="B54" s="4"/>
      <c r="C54" s="3" t="s">
        <v>67</v>
      </c>
      <c r="D54" s="9"/>
      <c r="E54" s="1">
        <f t="shared" si="0"/>
        <v>0</v>
      </c>
      <c r="F54" s="1">
        <f t="shared" si="1"/>
        <v>0.38250000000000006</v>
      </c>
      <c r="G54" s="1">
        <f t="shared" si="2"/>
        <v>1.1483800000000002</v>
      </c>
      <c r="H54" s="1">
        <f t="shared" si="5"/>
        <v>1.35975</v>
      </c>
      <c r="I54" s="5">
        <v>1</v>
      </c>
      <c r="J54" s="45">
        <f t="shared" si="6"/>
        <v>3101.3288199999997</v>
      </c>
      <c r="K54" s="5">
        <v>1</v>
      </c>
      <c r="L54" s="1">
        <f t="shared" si="4"/>
        <v>0</v>
      </c>
      <c r="M54" s="6"/>
      <c r="N54" s="7">
        <f>ROUND((3.59+10*0.5)/4,2)</f>
        <v>2.15</v>
      </c>
      <c r="O54" s="7"/>
      <c r="P54" s="7">
        <v>0.14499999999999999</v>
      </c>
      <c r="Q54" s="8"/>
      <c r="R54" s="7">
        <f>ROUND((0.704 +0.75 *0.5),2)</f>
        <v>1.08</v>
      </c>
      <c r="S54" s="7"/>
      <c r="T54" s="7"/>
      <c r="U54" s="7"/>
      <c r="V54" s="7"/>
      <c r="W54" s="7">
        <f t="shared" ref="W54:W60" si="14">R54*77.35</f>
        <v>83.537999999999997</v>
      </c>
      <c r="X54" s="8"/>
    </row>
    <row r="55" spans="1:24" ht="16.5" thickBot="1" x14ac:dyDescent="0.3">
      <c r="A55" s="4"/>
      <c r="B55" s="4"/>
      <c r="C55" s="3" t="s">
        <v>68</v>
      </c>
      <c r="D55" s="9"/>
      <c r="E55" s="1">
        <f t="shared" si="0"/>
        <v>0</v>
      </c>
      <c r="F55" s="1">
        <f t="shared" si="1"/>
        <v>0.43200000000000005</v>
      </c>
      <c r="G55" s="1">
        <f t="shared" si="2"/>
        <v>1.28653</v>
      </c>
      <c r="H55" s="1">
        <f t="shared" si="5"/>
        <v>1.5262500000000001</v>
      </c>
      <c r="I55" s="5">
        <v>1</v>
      </c>
      <c r="J55" s="45">
        <f t="shared" si="6"/>
        <v>3431.8226699999996</v>
      </c>
      <c r="K55" s="5">
        <v>1</v>
      </c>
      <c r="L55" s="1">
        <f t="shared" si="4"/>
        <v>0</v>
      </c>
      <c r="M55" s="6"/>
      <c r="N55" s="7">
        <f>ROUND((3.59+10*0.7)/4,2)</f>
        <v>2.65</v>
      </c>
      <c r="O55" s="7"/>
      <c r="P55" s="7">
        <v>0.14499999999999999</v>
      </c>
      <c r="Q55" s="8"/>
      <c r="R55" s="7">
        <f>ROUND((0.704 +0.75 *0.7),2)</f>
        <v>1.23</v>
      </c>
      <c r="S55" s="7"/>
      <c r="T55" s="7"/>
      <c r="U55" s="7"/>
      <c r="V55" s="7"/>
      <c r="W55" s="7">
        <f t="shared" si="14"/>
        <v>95.140499999999989</v>
      </c>
      <c r="X55" s="8"/>
    </row>
    <row r="56" spans="1:24" ht="16.5" thickBot="1" x14ac:dyDescent="0.3">
      <c r="A56" s="4"/>
      <c r="B56" s="4"/>
      <c r="C56" s="3" t="s">
        <v>69</v>
      </c>
      <c r="D56" s="9"/>
      <c r="E56" s="1">
        <f t="shared" si="0"/>
        <v>0</v>
      </c>
      <c r="F56" s="1">
        <f t="shared" si="1"/>
        <v>0.50459999999999994</v>
      </c>
      <c r="G56" s="1">
        <f t="shared" si="2"/>
        <v>1.48915</v>
      </c>
      <c r="H56" s="1">
        <f t="shared" si="5"/>
        <v>1.7704500000000001</v>
      </c>
      <c r="I56" s="5">
        <v>1</v>
      </c>
      <c r="J56" s="45">
        <f t="shared" si="6"/>
        <v>3918.0596499999992</v>
      </c>
      <c r="K56" s="5">
        <v>1</v>
      </c>
      <c r="L56" s="1">
        <f t="shared" si="4"/>
        <v>0</v>
      </c>
      <c r="M56" s="6"/>
      <c r="N56" s="7">
        <f>ROUND((3.59+10*1)/4,2)</f>
        <v>3.4</v>
      </c>
      <c r="O56" s="7">
        <f>(O55+O57)/2</f>
        <v>0</v>
      </c>
      <c r="P56" s="7">
        <v>0.14499999999999999</v>
      </c>
      <c r="Q56" s="8">
        <f>(Q55+Q57)/2</f>
        <v>0</v>
      </c>
      <c r="R56" s="7">
        <f>ROUND((0.704 +0.75 *1),2)</f>
        <v>1.45</v>
      </c>
      <c r="S56" s="7"/>
      <c r="T56" s="7"/>
      <c r="U56" s="7"/>
      <c r="V56" s="7"/>
      <c r="W56" s="7">
        <f t="shared" si="14"/>
        <v>112.15749999999998</v>
      </c>
      <c r="X56" s="8"/>
    </row>
    <row r="57" spans="1:24" ht="16.5" thickBot="1" x14ac:dyDescent="0.3">
      <c r="A57" s="4"/>
      <c r="B57" s="4"/>
      <c r="C57" s="3" t="s">
        <v>70</v>
      </c>
      <c r="D57" s="9"/>
      <c r="E57" s="1">
        <f t="shared" si="0"/>
        <v>0</v>
      </c>
      <c r="F57" s="1">
        <f t="shared" si="1"/>
        <v>0.6411</v>
      </c>
      <c r="G57" s="1">
        <f t="shared" si="2"/>
        <v>1.8840500000000002</v>
      </c>
      <c r="H57" s="1">
        <f t="shared" si="5"/>
        <v>2.2422</v>
      </c>
      <c r="I57" s="5">
        <v>1</v>
      </c>
      <c r="J57" s="45">
        <f t="shared" si="6"/>
        <v>4723.1767499999996</v>
      </c>
      <c r="K57" s="5">
        <v>1</v>
      </c>
      <c r="L57" s="1">
        <f t="shared" si="4"/>
        <v>0</v>
      </c>
      <c r="M57" s="6"/>
      <c r="N57" s="7">
        <f>ROUND((4+11.2*1)/4,2)</f>
        <v>3.8</v>
      </c>
      <c r="O57" s="7"/>
      <c r="P57" s="7">
        <v>0.17</v>
      </c>
      <c r="Q57" s="8"/>
      <c r="R57" s="7">
        <f>ROUND((0.843 +0.84*1.2),2)</f>
        <v>1.85</v>
      </c>
      <c r="S57" s="7"/>
      <c r="T57" s="7"/>
      <c r="U57" s="7"/>
      <c r="V57" s="7"/>
      <c r="W57" s="7">
        <f t="shared" si="14"/>
        <v>143.0975</v>
      </c>
      <c r="X57" s="8"/>
    </row>
    <row r="58" spans="1:24" ht="16.5" thickBot="1" x14ac:dyDescent="0.3">
      <c r="A58" s="4"/>
      <c r="B58" s="4"/>
      <c r="C58" s="3" t="s">
        <v>71</v>
      </c>
      <c r="D58" s="9"/>
      <c r="E58" s="1">
        <f t="shared" si="0"/>
        <v>0</v>
      </c>
      <c r="F58" s="1">
        <f t="shared" si="1"/>
        <v>0.80657999999999996</v>
      </c>
      <c r="G58" s="1">
        <f t="shared" si="2"/>
        <v>2.3575999999999997</v>
      </c>
      <c r="H58" s="1">
        <f t="shared" si="5"/>
        <v>2.8094099999999997</v>
      </c>
      <c r="I58" s="5">
        <v>1</v>
      </c>
      <c r="J58" s="45">
        <f t="shared" si="6"/>
        <v>5696.1854399999984</v>
      </c>
      <c r="K58" s="5">
        <v>1</v>
      </c>
      <c r="L58" s="1">
        <f t="shared" si="4"/>
        <v>0</v>
      </c>
      <c r="M58" s="6"/>
      <c r="N58" s="7">
        <f>ROUND((4.53+12.2*1)/4,2)</f>
        <v>4.18</v>
      </c>
      <c r="O58" s="7"/>
      <c r="P58" s="7">
        <v>0.191</v>
      </c>
      <c r="Q58" s="8"/>
      <c r="R58" s="7">
        <f>ROUND((0.968 +0.915 *1.5),2)</f>
        <v>2.34</v>
      </c>
      <c r="S58" s="7"/>
      <c r="T58" s="7"/>
      <c r="U58" s="7"/>
      <c r="V58" s="7"/>
      <c r="W58" s="7">
        <f t="shared" si="14"/>
        <v>180.99899999999997</v>
      </c>
      <c r="X58" s="8"/>
    </row>
    <row r="59" spans="1:24" ht="16.5" thickBot="1" x14ac:dyDescent="0.3">
      <c r="A59" s="4"/>
      <c r="B59" s="4"/>
      <c r="C59" s="3" t="s">
        <v>72</v>
      </c>
      <c r="D59" s="9"/>
      <c r="E59" s="1">
        <f t="shared" si="0"/>
        <v>0</v>
      </c>
      <c r="F59" s="1">
        <f t="shared" si="1"/>
        <v>0.89753699999999992</v>
      </c>
      <c r="G59" s="1">
        <f t="shared" si="2"/>
        <v>2.6274289999999998</v>
      </c>
      <c r="H59" s="1">
        <f t="shared" si="5"/>
        <v>3.1298114999999997</v>
      </c>
      <c r="I59" s="5">
        <v>1</v>
      </c>
      <c r="J59" s="45">
        <f t="shared" si="6"/>
        <v>6242.2876447777762</v>
      </c>
      <c r="K59" s="5">
        <v>1</v>
      </c>
      <c r="L59" s="1">
        <f t="shared" si="4"/>
        <v>0</v>
      </c>
      <c r="M59" s="6"/>
      <c r="N59" s="7">
        <f>N58/1.8*2</f>
        <v>4.6444444444444439</v>
      </c>
      <c r="O59" s="7"/>
      <c r="P59" s="7">
        <f>P58*1.15</f>
        <v>0.21964999999999998</v>
      </c>
      <c r="Q59" s="8"/>
      <c r="R59" s="7">
        <f>R58/1.8*2</f>
        <v>2.5999999999999996</v>
      </c>
      <c r="S59" s="7"/>
      <c r="T59" s="7"/>
      <c r="U59" s="7"/>
      <c r="V59" s="7"/>
      <c r="W59" s="7">
        <f t="shared" si="14"/>
        <v>201.10999999999996</v>
      </c>
      <c r="X59" s="8"/>
    </row>
    <row r="60" spans="1:24" ht="16.5" thickBot="1" x14ac:dyDescent="0.3">
      <c r="A60" s="4"/>
      <c r="B60" s="4"/>
      <c r="C60" s="3" t="s">
        <v>73</v>
      </c>
      <c r="D60" s="9"/>
      <c r="E60" s="1">
        <f t="shared" si="0"/>
        <v>0</v>
      </c>
      <c r="F60" s="1">
        <f t="shared" si="1"/>
        <v>1.1179675499999999</v>
      </c>
      <c r="G60" s="1">
        <f t="shared" si="2"/>
        <v>3.2610033499999997</v>
      </c>
      <c r="H60" s="1">
        <f t="shared" si="5"/>
        <v>3.8878832249999999</v>
      </c>
      <c r="I60" s="5">
        <v>1</v>
      </c>
      <c r="J60" s="45">
        <f t="shared" si="6"/>
        <v>7594.3781092722211</v>
      </c>
      <c r="K60" s="5">
        <v>1</v>
      </c>
      <c r="L60" s="1">
        <f t="shared" si="4"/>
        <v>0</v>
      </c>
      <c r="M60" s="6"/>
      <c r="N60" s="7">
        <f>N59/2*2.5</f>
        <v>5.8055555555555554</v>
      </c>
      <c r="O60" s="7"/>
      <c r="P60" s="7">
        <f>P59*1.15</f>
        <v>0.25259749999999997</v>
      </c>
      <c r="Q60" s="8"/>
      <c r="R60" s="7">
        <f>R59/2*2.5</f>
        <v>3.2499999999999996</v>
      </c>
      <c r="S60" s="7"/>
      <c r="T60" s="7"/>
      <c r="U60" s="7"/>
      <c r="V60" s="7"/>
      <c r="W60" s="7">
        <f t="shared" si="14"/>
        <v>251.38749999999996</v>
      </c>
      <c r="X60" s="8"/>
    </row>
    <row r="61" spans="1:24" ht="16.5" thickBot="1" x14ac:dyDescent="0.3">
      <c r="A61" s="4"/>
      <c r="B61" s="4"/>
      <c r="C61" s="3" t="s">
        <v>132</v>
      </c>
      <c r="D61" s="9"/>
      <c r="E61" s="1">
        <f t="shared" si="0"/>
        <v>0</v>
      </c>
      <c r="F61" s="1">
        <f t="shared" si="1"/>
        <v>0.11253000000000002</v>
      </c>
      <c r="G61" s="1">
        <f t="shared" si="2"/>
        <v>0.31406100000000003</v>
      </c>
      <c r="H61" s="1">
        <f t="shared" si="5"/>
        <v>0.37851000000000007</v>
      </c>
      <c r="I61" s="5"/>
      <c r="J61" s="45">
        <f t="shared" si="6"/>
        <v>813.88541000000009</v>
      </c>
      <c r="K61" s="5"/>
      <c r="L61" s="1">
        <f t="shared" si="4"/>
        <v>0</v>
      </c>
      <c r="M61" s="6"/>
      <c r="N61" s="7">
        <f>2+1.56+0.72</f>
        <v>4.28</v>
      </c>
      <c r="O61" s="7"/>
      <c r="P61" s="7"/>
      <c r="Q61" s="8"/>
      <c r="R61" s="7">
        <f>0.1+0.16+0.081</f>
        <v>0.34100000000000003</v>
      </c>
      <c r="S61" s="7"/>
      <c r="T61" s="7"/>
      <c r="U61" s="7"/>
      <c r="V61" s="7"/>
      <c r="W61" s="7">
        <f>1.32+4.11+4.74+1.69+3</f>
        <v>14.860000000000001</v>
      </c>
      <c r="X61" s="8"/>
    </row>
    <row r="62" spans="1:24" ht="16.5" thickBot="1" x14ac:dyDescent="0.3">
      <c r="A62" s="4"/>
      <c r="B62" s="4"/>
      <c r="C62" s="3" t="s">
        <v>133</v>
      </c>
      <c r="D62" s="9"/>
      <c r="E62" s="1">
        <f t="shared" si="0"/>
        <v>0</v>
      </c>
      <c r="F62" s="1">
        <f t="shared" si="1"/>
        <v>0.12243000000000002</v>
      </c>
      <c r="G62" s="1">
        <f t="shared" si="2"/>
        <v>0.34169100000000008</v>
      </c>
      <c r="H62" s="1">
        <f t="shared" si="5"/>
        <v>0.41181000000000012</v>
      </c>
      <c r="I62" s="5"/>
      <c r="J62" s="45">
        <f t="shared" si="6"/>
        <v>912.06511</v>
      </c>
      <c r="K62" s="5"/>
      <c r="L62" s="1">
        <f t="shared" si="4"/>
        <v>0</v>
      </c>
      <c r="M62" s="6"/>
      <c r="N62" s="7">
        <f>2+1.76+0.72</f>
        <v>4.4799999999999995</v>
      </c>
      <c r="O62" s="7"/>
      <c r="P62" s="7"/>
      <c r="Q62" s="8"/>
      <c r="R62" s="7">
        <f>0.1+0.19+0.081</f>
        <v>0.37100000000000005</v>
      </c>
      <c r="S62" s="7"/>
      <c r="T62" s="7"/>
      <c r="U62" s="7"/>
      <c r="V62" s="7"/>
      <c r="W62" s="7">
        <f>1.32+4.11+7.42+2.52+3</f>
        <v>18.37</v>
      </c>
      <c r="X62" s="8"/>
    </row>
    <row r="63" spans="1:24" ht="16.5" thickBot="1" x14ac:dyDescent="0.3">
      <c r="A63" s="4"/>
      <c r="B63" s="4"/>
      <c r="C63" s="3" t="s">
        <v>134</v>
      </c>
      <c r="D63" s="9"/>
      <c r="E63" s="1">
        <f t="shared" si="0"/>
        <v>0</v>
      </c>
      <c r="F63" s="1">
        <f t="shared" si="1"/>
        <v>0.13233</v>
      </c>
      <c r="G63" s="1">
        <f t="shared" si="2"/>
        <v>0.36932100000000001</v>
      </c>
      <c r="H63" s="1">
        <f t="shared" si="5"/>
        <v>0.44511000000000006</v>
      </c>
      <c r="I63" s="5"/>
      <c r="J63" s="45">
        <f t="shared" si="6"/>
        <v>1028.23101</v>
      </c>
      <c r="K63" s="5"/>
      <c r="L63" s="1">
        <f t="shared" si="4"/>
        <v>0</v>
      </c>
      <c r="M63" s="6"/>
      <c r="N63" s="7">
        <f>2+1.96+0.72</f>
        <v>4.68</v>
      </c>
      <c r="O63" s="7"/>
      <c r="P63" s="7"/>
      <c r="Q63" s="8"/>
      <c r="R63" s="7">
        <f>0.1+0.22+0.081</f>
        <v>0.40100000000000002</v>
      </c>
      <c r="S63" s="7"/>
      <c r="T63" s="7"/>
      <c r="U63" s="7"/>
      <c r="V63" s="7"/>
      <c r="W63" s="7">
        <f>1.32+4.11+10.23+3.15+4</f>
        <v>22.81</v>
      </c>
      <c r="X63" s="8"/>
    </row>
    <row r="64" spans="1:24" ht="16.5" thickBot="1" x14ac:dyDescent="0.3">
      <c r="A64" s="4"/>
      <c r="B64" s="4"/>
      <c r="C64" s="3" t="s">
        <v>135</v>
      </c>
      <c r="D64" s="9"/>
      <c r="E64" s="1">
        <f t="shared" si="0"/>
        <v>0</v>
      </c>
      <c r="F64" s="1">
        <f t="shared" si="1"/>
        <v>0.38417000000000001</v>
      </c>
      <c r="G64" s="1">
        <f t="shared" si="2"/>
        <v>1.55436</v>
      </c>
      <c r="H64" s="1">
        <f t="shared" si="5"/>
        <v>2.9078100000000004</v>
      </c>
      <c r="I64" s="5"/>
      <c r="J64" s="45">
        <f t="shared" si="6"/>
        <v>882.17088000000001</v>
      </c>
      <c r="K64" s="5"/>
      <c r="L64" s="1">
        <f t="shared" si="4"/>
        <v>0</v>
      </c>
      <c r="M64" s="6">
        <v>1.22</v>
      </c>
      <c r="N64" s="7">
        <f>7.413/3</f>
        <v>2.4710000000000001</v>
      </c>
      <c r="O64" s="7"/>
      <c r="P64" s="7"/>
      <c r="Q64" s="8">
        <v>0.97099999999999997</v>
      </c>
      <c r="R64" s="7"/>
      <c r="S64" s="7"/>
      <c r="T64" s="7"/>
      <c r="U64" s="7"/>
      <c r="V64" s="7"/>
      <c r="W64" s="7"/>
      <c r="X64" s="8"/>
    </row>
    <row r="65" spans="1:24" ht="16.5" thickBot="1" x14ac:dyDescent="0.3">
      <c r="A65" s="4"/>
      <c r="B65" s="4"/>
      <c r="C65" s="3" t="s">
        <v>136</v>
      </c>
      <c r="D65" s="9"/>
      <c r="E65" s="1">
        <f t="shared" si="0"/>
        <v>0</v>
      </c>
      <c r="F65" s="1">
        <f t="shared" si="1"/>
        <v>0.47295000000000004</v>
      </c>
      <c r="G65" s="1">
        <f t="shared" si="2"/>
        <v>1.9178999999999999</v>
      </c>
      <c r="H65" s="1">
        <f t="shared" si="5"/>
        <v>3.6103500000000004</v>
      </c>
      <c r="I65" s="5"/>
      <c r="J65" s="45">
        <f t="shared" si="6"/>
        <v>1059.2508666666668</v>
      </c>
      <c r="K65" s="5"/>
      <c r="L65" s="1">
        <f t="shared" si="4"/>
        <v>0</v>
      </c>
      <c r="M65" s="6">
        <v>1.53</v>
      </c>
      <c r="N65" s="7">
        <f>8.15/3</f>
        <v>2.7166666666666668</v>
      </c>
      <c r="O65" s="7"/>
      <c r="P65" s="7"/>
      <c r="Q65" s="8">
        <v>1.1850000000000001</v>
      </c>
      <c r="R65" s="7"/>
      <c r="S65" s="7"/>
      <c r="T65" s="7"/>
      <c r="U65" s="7"/>
      <c r="V65" s="7"/>
      <c r="W65" s="7"/>
      <c r="X65" s="8"/>
    </row>
    <row r="66" spans="1:24" ht="16.5" thickBot="1" x14ac:dyDescent="0.3">
      <c r="A66" s="4"/>
      <c r="B66" s="4"/>
      <c r="C66" s="3" t="s">
        <v>137</v>
      </c>
      <c r="D66" s="9"/>
      <c r="E66" s="1">
        <f t="shared" si="0"/>
        <v>0</v>
      </c>
      <c r="F66" s="1">
        <f t="shared" si="1"/>
        <v>0.75196000000000007</v>
      </c>
      <c r="G66" s="1">
        <f t="shared" si="2"/>
        <v>3.0643799999999999</v>
      </c>
      <c r="H66" s="1">
        <f t="shared" si="5"/>
        <v>5.8462800000000001</v>
      </c>
      <c r="I66" s="5"/>
      <c r="J66" s="45">
        <f t="shared" si="6"/>
        <v>1635.64176</v>
      </c>
      <c r="K66" s="5"/>
      <c r="L66" s="1">
        <f t="shared" si="4"/>
        <v>0</v>
      </c>
      <c r="M66" s="6">
        <v>2.5299999999999998</v>
      </c>
      <c r="N66" s="7">
        <f>11.04/3</f>
        <v>3.6799999999999997</v>
      </c>
      <c r="O66" s="7"/>
      <c r="P66" s="7"/>
      <c r="Q66" s="8">
        <v>1.8480000000000001</v>
      </c>
      <c r="R66" s="7"/>
      <c r="S66" s="7"/>
      <c r="T66" s="7"/>
      <c r="U66" s="7"/>
      <c r="V66" s="7"/>
      <c r="W66" s="7"/>
      <c r="X66" s="8"/>
    </row>
    <row r="67" spans="1:24" ht="16.5" thickBot="1" x14ac:dyDescent="0.3">
      <c r="A67" s="4"/>
      <c r="B67" s="4"/>
      <c r="C67" s="3" t="s">
        <v>74</v>
      </c>
      <c r="D67" s="9"/>
      <c r="E67" s="1">
        <f t="shared" si="0"/>
        <v>0</v>
      </c>
      <c r="F67" s="1">
        <f t="shared" si="1"/>
        <v>1.08901</v>
      </c>
      <c r="G67" s="1">
        <f t="shared" si="2"/>
        <v>4.4434800000000001</v>
      </c>
      <c r="H67" s="1">
        <f t="shared" si="5"/>
        <v>8.5059300000000011</v>
      </c>
      <c r="I67" s="5"/>
      <c r="J67" s="45">
        <f t="shared" si="6"/>
        <v>2313.6580933333335</v>
      </c>
      <c r="K67" s="5"/>
      <c r="L67" s="1">
        <f t="shared" si="4"/>
        <v>0</v>
      </c>
      <c r="M67" s="6">
        <v>3.7</v>
      </c>
      <c r="N67" s="7">
        <f>14.05/3</f>
        <v>4.6833333333333336</v>
      </c>
      <c r="O67" s="7"/>
      <c r="P67" s="7"/>
      <c r="Q67" s="8">
        <v>2.6629999999999998</v>
      </c>
      <c r="R67" s="7"/>
      <c r="S67" s="7"/>
      <c r="T67" s="7"/>
      <c r="U67" s="7"/>
      <c r="V67" s="7"/>
      <c r="W67" s="7"/>
      <c r="X67" s="8"/>
    </row>
    <row r="68" spans="1:24" ht="16.5" thickBot="1" x14ac:dyDescent="0.3">
      <c r="A68" s="4"/>
      <c r="B68" s="4"/>
      <c r="C68" s="3" t="s">
        <v>75</v>
      </c>
      <c r="D68" s="9"/>
      <c r="E68" s="1">
        <f t="shared" ref="E68:E82" si="15">O68*0.846</f>
        <v>0</v>
      </c>
      <c r="F68" s="1">
        <f t="shared" ref="F68:F82" si="16">A68*0.231+M68*0.1+O68*0.0588+P68*0.18+Q68*0.27+R68*0.33+T68*0.005*0.434</f>
        <v>1.4740100000000003</v>
      </c>
      <c r="G68" s="1">
        <f t="shared" ref="G68:G82" si="17">A68*0.6447+M68*0.51+O68*0.396+P68*1.06+Q68*0.96+R68*0.921+T68*0.005*1.575</f>
        <v>6.0316799999999997</v>
      </c>
      <c r="H68" s="1">
        <f t="shared" si="5"/>
        <v>11.634930000000001</v>
      </c>
      <c r="I68" s="5"/>
      <c r="J68" s="45">
        <f t="shared" ref="J68:J82" si="18">A68*306.45+M68*238+N68*90.76+O68*438+P68*340.38+Q68*378.52+R68*404.81+S68*411.043+T68*412.45*0.005+U68*17.12+V68*18.08+W68*19.34+X68*234.12+K68*436.99+I68*367.03</f>
        <v>3097.2651599999999</v>
      </c>
      <c r="K68" s="5"/>
      <c r="L68" s="1">
        <f t="shared" ref="L68:L82" si="19">O68*0.0282</f>
        <v>0</v>
      </c>
      <c r="M68" s="6">
        <v>5.12</v>
      </c>
      <c r="N68" s="7">
        <f>17.52/3</f>
        <v>5.84</v>
      </c>
      <c r="O68" s="7"/>
      <c r="P68" s="7"/>
      <c r="Q68" s="8">
        <v>3.5630000000000002</v>
      </c>
      <c r="R68" s="7"/>
      <c r="S68" s="7"/>
      <c r="T68" s="7"/>
      <c r="U68" s="7"/>
      <c r="V68" s="7"/>
      <c r="W68" s="7"/>
      <c r="X68" s="8"/>
    </row>
    <row r="69" spans="1:24" ht="16.5" thickBot="1" x14ac:dyDescent="0.3">
      <c r="A69" s="4"/>
      <c r="B69" s="4"/>
      <c r="C69" s="3" t="s">
        <v>76</v>
      </c>
      <c r="D69" s="9"/>
      <c r="E69" s="1">
        <f t="shared" si="15"/>
        <v>0</v>
      </c>
      <c r="F69" s="1">
        <f t="shared" si="16"/>
        <v>2.41967</v>
      </c>
      <c r="G69" s="1">
        <f t="shared" si="17"/>
        <v>9.9546600000000005</v>
      </c>
      <c r="H69" s="1">
        <f t="shared" ref="H69" si="20">A69*(0.777+0.45)+M69*(1.5)+P69*1.11+Q69*1.11+R69*1.11</f>
        <v>19.47531</v>
      </c>
      <c r="I69" s="5"/>
      <c r="J69" s="45">
        <f t="shared" si="18"/>
        <v>4958.966253333334</v>
      </c>
      <c r="K69" s="5"/>
      <c r="L69" s="1">
        <f t="shared" si="19"/>
        <v>0</v>
      </c>
      <c r="M69" s="6">
        <v>8.75</v>
      </c>
      <c r="N69" s="7">
        <f>23.5/3</f>
        <v>7.833333333333333</v>
      </c>
      <c r="O69" s="7"/>
      <c r="P69" s="7"/>
      <c r="Q69" s="8">
        <v>5.7210000000000001</v>
      </c>
      <c r="R69" s="7"/>
      <c r="S69" s="7"/>
      <c r="T69" s="7"/>
      <c r="U69" s="7"/>
      <c r="V69" s="7"/>
      <c r="W69" s="7"/>
      <c r="X69" s="8"/>
    </row>
    <row r="70" spans="1:24" ht="16.5" thickBot="1" x14ac:dyDescent="0.3">
      <c r="A70" s="35"/>
      <c r="B70" s="35"/>
      <c r="C70" s="38" t="s">
        <v>138</v>
      </c>
      <c r="D70" s="36"/>
      <c r="E70" s="1">
        <f t="shared" si="15"/>
        <v>0</v>
      </c>
      <c r="F70" s="1">
        <f t="shared" si="16"/>
        <v>0</v>
      </c>
      <c r="G70" s="1">
        <f t="shared" si="17"/>
        <v>0</v>
      </c>
      <c r="H70" s="1">
        <f t="shared" ref="H70:H82" si="21">A70*(0.777+0.45)+M70*(0.777+0.45)+P70*1.11+Q70*1.11+R70*1.11</f>
        <v>0</v>
      </c>
      <c r="I70" s="37"/>
      <c r="J70" s="45">
        <f t="shared" si="18"/>
        <v>0</v>
      </c>
      <c r="K70" s="39"/>
      <c r="L70" s="1">
        <f t="shared" si="19"/>
        <v>0</v>
      </c>
      <c r="M70" s="40"/>
      <c r="N70" s="40"/>
      <c r="O70" s="41"/>
      <c r="P70" s="42"/>
      <c r="Q70" s="43"/>
      <c r="R70" s="40"/>
      <c r="S70" s="40"/>
      <c r="T70" s="40"/>
      <c r="U70" s="40"/>
      <c r="V70" s="40"/>
      <c r="W70" s="40"/>
      <c r="X70" s="43"/>
    </row>
    <row r="71" spans="1:24" ht="16.5" thickBot="1" x14ac:dyDescent="0.3">
      <c r="A71" s="35"/>
      <c r="B71" s="35"/>
      <c r="C71" s="38" t="s">
        <v>139</v>
      </c>
      <c r="D71" s="36"/>
      <c r="E71" s="1">
        <f t="shared" si="15"/>
        <v>0</v>
      </c>
      <c r="F71" s="1">
        <f t="shared" si="16"/>
        <v>0</v>
      </c>
      <c r="G71" s="1">
        <f t="shared" si="17"/>
        <v>0</v>
      </c>
      <c r="H71" s="1">
        <f t="shared" si="21"/>
        <v>0</v>
      </c>
      <c r="I71" s="37"/>
      <c r="J71" s="45">
        <f t="shared" si="18"/>
        <v>0</v>
      </c>
      <c r="K71" s="39"/>
      <c r="L71" s="1">
        <f t="shared" si="19"/>
        <v>0</v>
      </c>
      <c r="M71" s="40"/>
      <c r="N71" s="40"/>
      <c r="O71" s="41"/>
      <c r="P71" s="42"/>
      <c r="Q71" s="43"/>
      <c r="R71" s="40"/>
      <c r="S71" s="40"/>
      <c r="T71" s="40"/>
      <c r="U71" s="40"/>
      <c r="V71" s="40"/>
      <c r="W71" s="40"/>
      <c r="X71" s="43"/>
    </row>
    <row r="72" spans="1:24" ht="16.5" thickBot="1" x14ac:dyDescent="0.3">
      <c r="A72" s="35"/>
      <c r="B72" s="35"/>
      <c r="C72" s="38" t="s">
        <v>140</v>
      </c>
      <c r="D72" s="36"/>
      <c r="E72" s="1">
        <f t="shared" si="15"/>
        <v>0</v>
      </c>
      <c r="F72" s="1">
        <f t="shared" si="16"/>
        <v>0</v>
      </c>
      <c r="G72" s="1">
        <f t="shared" si="17"/>
        <v>0</v>
      </c>
      <c r="H72" s="1">
        <f t="shared" si="21"/>
        <v>0</v>
      </c>
      <c r="I72" s="37"/>
      <c r="J72" s="45">
        <f t="shared" si="18"/>
        <v>0</v>
      </c>
      <c r="K72" s="39"/>
      <c r="L72" s="1">
        <f t="shared" si="19"/>
        <v>0</v>
      </c>
      <c r="M72" s="40"/>
      <c r="N72" s="40"/>
      <c r="O72" s="41"/>
      <c r="P72" s="42"/>
      <c r="Q72" s="43"/>
      <c r="R72" s="40"/>
      <c r="S72" s="40"/>
      <c r="T72" s="40"/>
      <c r="U72" s="40"/>
      <c r="V72" s="40"/>
      <c r="W72" s="40"/>
      <c r="X72" s="43"/>
    </row>
    <row r="73" spans="1:24" ht="16.5" thickBot="1" x14ac:dyDescent="0.3">
      <c r="A73" s="35"/>
      <c r="B73" s="35"/>
      <c r="C73" s="38" t="s">
        <v>141</v>
      </c>
      <c r="D73" s="36"/>
      <c r="E73" s="1">
        <f t="shared" si="15"/>
        <v>0</v>
      </c>
      <c r="F73" s="1">
        <f t="shared" si="16"/>
        <v>0</v>
      </c>
      <c r="G73" s="1">
        <f t="shared" si="17"/>
        <v>0</v>
      </c>
      <c r="H73" s="1">
        <f t="shared" si="21"/>
        <v>0</v>
      </c>
      <c r="I73" s="37"/>
      <c r="J73" s="45">
        <f t="shared" si="18"/>
        <v>0</v>
      </c>
      <c r="K73" s="39"/>
      <c r="L73" s="1">
        <f t="shared" si="19"/>
        <v>0</v>
      </c>
      <c r="M73" s="40"/>
      <c r="N73" s="40"/>
      <c r="O73" s="41"/>
      <c r="P73" s="42"/>
      <c r="Q73" s="43"/>
      <c r="R73" s="40"/>
      <c r="S73" s="40"/>
      <c r="T73" s="40"/>
      <c r="U73" s="40"/>
      <c r="V73" s="40"/>
      <c r="W73" s="40"/>
      <c r="X73" s="43"/>
    </row>
    <row r="74" spans="1:24" ht="16.5" thickBot="1" x14ac:dyDescent="0.3">
      <c r="A74" s="35"/>
      <c r="B74" s="35"/>
      <c r="C74" s="38" t="s">
        <v>142</v>
      </c>
      <c r="D74" s="36"/>
      <c r="E74" s="1">
        <f t="shared" si="15"/>
        <v>0</v>
      </c>
      <c r="F74" s="1">
        <f t="shared" si="16"/>
        <v>0</v>
      </c>
      <c r="G74" s="1">
        <f t="shared" si="17"/>
        <v>0</v>
      </c>
      <c r="H74" s="1">
        <f t="shared" si="21"/>
        <v>0</v>
      </c>
      <c r="I74" s="37"/>
      <c r="J74" s="45">
        <f t="shared" si="18"/>
        <v>0</v>
      </c>
      <c r="K74" s="39"/>
      <c r="L74" s="1">
        <f t="shared" si="19"/>
        <v>0</v>
      </c>
      <c r="M74" s="40"/>
      <c r="N74" s="40"/>
      <c r="O74" s="41"/>
      <c r="P74" s="42"/>
      <c r="Q74" s="43"/>
      <c r="R74" s="40"/>
      <c r="S74" s="40"/>
      <c r="T74" s="40"/>
      <c r="U74" s="40"/>
      <c r="V74" s="40"/>
      <c r="W74" s="40"/>
      <c r="X74" s="43"/>
    </row>
    <row r="75" spans="1:24" ht="16.5" thickBot="1" x14ac:dyDescent="0.3">
      <c r="A75" s="35"/>
      <c r="B75" s="35"/>
      <c r="C75" s="38" t="s">
        <v>143</v>
      </c>
      <c r="D75" s="36"/>
      <c r="E75" s="1">
        <f t="shared" si="15"/>
        <v>0</v>
      </c>
      <c r="F75" s="1">
        <f t="shared" si="16"/>
        <v>0</v>
      </c>
      <c r="G75" s="1">
        <f t="shared" si="17"/>
        <v>0</v>
      </c>
      <c r="H75" s="1">
        <f t="shared" si="21"/>
        <v>0</v>
      </c>
      <c r="I75" s="37"/>
      <c r="J75" s="45">
        <f t="shared" si="18"/>
        <v>0</v>
      </c>
      <c r="K75" s="39"/>
      <c r="L75" s="1">
        <f t="shared" si="19"/>
        <v>0</v>
      </c>
      <c r="M75" s="40"/>
      <c r="N75" s="40"/>
      <c r="O75" s="41"/>
      <c r="P75" s="42"/>
      <c r="Q75" s="43"/>
      <c r="R75" s="40"/>
      <c r="S75" s="40"/>
      <c r="T75" s="40"/>
      <c r="U75" s="40"/>
      <c r="V75" s="40"/>
      <c r="W75" s="40"/>
      <c r="X75" s="43"/>
    </row>
    <row r="76" spans="1:24" ht="16.5" thickBot="1" x14ac:dyDescent="0.3">
      <c r="A76" s="35"/>
      <c r="B76" s="35"/>
      <c r="C76" s="38" t="s">
        <v>144</v>
      </c>
      <c r="D76" s="36"/>
      <c r="E76" s="1">
        <f t="shared" si="15"/>
        <v>0</v>
      </c>
      <c r="F76" s="1">
        <f t="shared" si="16"/>
        <v>0</v>
      </c>
      <c r="G76" s="1">
        <f t="shared" si="17"/>
        <v>0</v>
      </c>
      <c r="H76" s="1">
        <f t="shared" si="21"/>
        <v>0</v>
      </c>
      <c r="I76" s="37"/>
      <c r="J76" s="45">
        <f t="shared" si="18"/>
        <v>0</v>
      </c>
      <c r="K76" s="39"/>
      <c r="L76" s="1">
        <f t="shared" si="19"/>
        <v>0</v>
      </c>
      <c r="M76" s="40"/>
      <c r="N76" s="40"/>
      <c r="O76" s="41"/>
      <c r="P76" s="42"/>
      <c r="Q76" s="43"/>
      <c r="R76" s="40"/>
      <c r="S76" s="40"/>
      <c r="T76" s="40"/>
      <c r="U76" s="40"/>
      <c r="V76" s="40"/>
      <c r="W76" s="40"/>
      <c r="X76" s="43"/>
    </row>
    <row r="77" spans="1:24" ht="16.5" thickBot="1" x14ac:dyDescent="0.3">
      <c r="A77" s="35"/>
      <c r="B77" s="35"/>
      <c r="C77" s="38" t="s">
        <v>145</v>
      </c>
      <c r="D77" s="36"/>
      <c r="E77" s="1">
        <f t="shared" si="15"/>
        <v>0</v>
      </c>
      <c r="F77" s="1">
        <f t="shared" si="16"/>
        <v>0</v>
      </c>
      <c r="G77" s="1">
        <f t="shared" si="17"/>
        <v>0</v>
      </c>
      <c r="H77" s="1">
        <f t="shared" si="21"/>
        <v>0</v>
      </c>
      <c r="I77" s="37"/>
      <c r="J77" s="45">
        <f t="shared" si="18"/>
        <v>0</v>
      </c>
      <c r="K77" s="39"/>
      <c r="L77" s="1">
        <f t="shared" si="19"/>
        <v>0</v>
      </c>
      <c r="M77" s="40"/>
      <c r="N77" s="40"/>
      <c r="O77" s="41"/>
      <c r="P77" s="42"/>
      <c r="Q77" s="43"/>
      <c r="R77" s="40"/>
      <c r="S77" s="40"/>
      <c r="T77" s="40"/>
      <c r="U77" s="40"/>
      <c r="V77" s="40"/>
      <c r="W77" s="40"/>
      <c r="X77" s="43"/>
    </row>
    <row r="78" spans="1:24" ht="16.5" thickBot="1" x14ac:dyDescent="0.3">
      <c r="A78" s="35"/>
      <c r="B78" s="35"/>
      <c r="C78" s="38" t="s">
        <v>146</v>
      </c>
      <c r="D78" s="36"/>
      <c r="E78" s="1">
        <f t="shared" si="15"/>
        <v>0</v>
      </c>
      <c r="F78" s="1">
        <f t="shared" si="16"/>
        <v>0</v>
      </c>
      <c r="G78" s="1">
        <f t="shared" si="17"/>
        <v>0</v>
      </c>
      <c r="H78" s="1">
        <f t="shared" si="21"/>
        <v>0</v>
      </c>
      <c r="I78" s="37"/>
      <c r="J78" s="45">
        <f t="shared" si="18"/>
        <v>0</v>
      </c>
      <c r="K78" s="39"/>
      <c r="L78" s="1">
        <f t="shared" si="19"/>
        <v>0</v>
      </c>
      <c r="M78" s="40"/>
      <c r="N78" s="40"/>
      <c r="O78" s="41"/>
      <c r="P78" s="42"/>
      <c r="Q78" s="43"/>
      <c r="R78" s="40"/>
      <c r="S78" s="40"/>
      <c r="T78" s="40"/>
      <c r="U78" s="40"/>
      <c r="V78" s="40"/>
      <c r="W78" s="40"/>
      <c r="X78" s="43"/>
    </row>
    <row r="79" spans="1:24" ht="16.5" thickBot="1" x14ac:dyDescent="0.3">
      <c r="A79" s="35"/>
      <c r="B79" s="35"/>
      <c r="C79" s="38" t="s">
        <v>147</v>
      </c>
      <c r="D79" s="36"/>
      <c r="E79" s="1">
        <f t="shared" si="15"/>
        <v>0</v>
      </c>
      <c r="F79" s="1">
        <f t="shared" si="16"/>
        <v>0</v>
      </c>
      <c r="G79" s="1">
        <f t="shared" si="17"/>
        <v>0</v>
      </c>
      <c r="H79" s="1">
        <f t="shared" si="21"/>
        <v>0</v>
      </c>
      <c r="I79" s="37"/>
      <c r="J79" s="45">
        <f t="shared" si="18"/>
        <v>0</v>
      </c>
      <c r="K79" s="39"/>
      <c r="L79" s="1">
        <f t="shared" si="19"/>
        <v>0</v>
      </c>
      <c r="M79" s="40"/>
      <c r="N79" s="40"/>
      <c r="O79" s="41"/>
      <c r="P79" s="42"/>
      <c r="Q79" s="43"/>
      <c r="R79" s="40"/>
      <c r="S79" s="40"/>
      <c r="T79" s="40"/>
      <c r="U79" s="40"/>
      <c r="V79" s="40"/>
      <c r="W79" s="40"/>
      <c r="X79" s="43"/>
    </row>
    <row r="80" spans="1:24" ht="15" customHeight="1" thickBot="1" x14ac:dyDescent="0.3">
      <c r="A80" s="35"/>
      <c r="B80" s="35"/>
      <c r="C80" s="38"/>
      <c r="D80" s="24"/>
      <c r="E80" s="1">
        <f t="shared" si="15"/>
        <v>0</v>
      </c>
      <c r="F80" s="1">
        <f t="shared" si="16"/>
        <v>0</v>
      </c>
      <c r="G80" s="1">
        <f t="shared" si="17"/>
        <v>0</v>
      </c>
      <c r="H80" s="1">
        <f t="shared" si="21"/>
        <v>0</v>
      </c>
      <c r="I80" s="37"/>
      <c r="J80" s="45">
        <f t="shared" si="18"/>
        <v>0</v>
      </c>
      <c r="K80" s="39"/>
      <c r="L80" s="1">
        <f t="shared" si="19"/>
        <v>0</v>
      </c>
      <c r="M80" s="40"/>
      <c r="N80" s="44"/>
      <c r="O80" s="44"/>
      <c r="P80" s="42"/>
      <c r="Q80" s="42"/>
      <c r="R80" s="42"/>
      <c r="S80" s="42"/>
      <c r="T80" s="42"/>
      <c r="U80" s="42"/>
      <c r="V80" s="42"/>
      <c r="W80" s="42"/>
      <c r="X80" s="42"/>
    </row>
    <row r="81" spans="1:24" ht="15" customHeight="1" thickBot="1" x14ac:dyDescent="0.3">
      <c r="A81" s="35"/>
      <c r="B81" s="35"/>
      <c r="C81" s="38"/>
      <c r="D81" s="24"/>
      <c r="E81" s="1">
        <f t="shared" si="15"/>
        <v>0</v>
      </c>
      <c r="F81" s="1">
        <f t="shared" si="16"/>
        <v>0</v>
      </c>
      <c r="G81" s="1">
        <f t="shared" si="17"/>
        <v>0</v>
      </c>
      <c r="H81" s="1">
        <f t="shared" si="21"/>
        <v>0</v>
      </c>
      <c r="I81" s="37"/>
      <c r="J81" s="45">
        <f t="shared" si="18"/>
        <v>0</v>
      </c>
      <c r="K81" s="39"/>
      <c r="L81" s="1">
        <f t="shared" si="19"/>
        <v>0</v>
      </c>
      <c r="M81" s="40"/>
      <c r="N81" s="44"/>
      <c r="O81" s="44"/>
      <c r="P81" s="42"/>
      <c r="Q81" s="42"/>
      <c r="R81" s="42"/>
      <c r="S81" s="42"/>
      <c r="T81" s="42"/>
      <c r="U81" s="42"/>
      <c r="V81" s="42"/>
      <c r="W81" s="42"/>
      <c r="X81" s="42"/>
    </row>
    <row r="82" spans="1:24" ht="15" customHeight="1" thickBot="1" x14ac:dyDescent="0.3">
      <c r="A82" s="35"/>
      <c r="B82" s="35"/>
      <c r="C82" s="38"/>
      <c r="D82" s="24"/>
      <c r="E82" s="1">
        <f t="shared" si="15"/>
        <v>0</v>
      </c>
      <c r="F82" s="1">
        <f t="shared" si="16"/>
        <v>0</v>
      </c>
      <c r="G82" s="1">
        <f t="shared" si="17"/>
        <v>0</v>
      </c>
      <c r="H82" s="1">
        <f t="shared" si="21"/>
        <v>0</v>
      </c>
      <c r="I82" s="37"/>
      <c r="J82" s="45">
        <f t="shared" si="18"/>
        <v>0</v>
      </c>
      <c r="K82" s="39"/>
      <c r="L82" s="1">
        <f t="shared" si="19"/>
        <v>0</v>
      </c>
      <c r="M82" s="40"/>
      <c r="N82" s="44"/>
      <c r="O82" s="44"/>
      <c r="P82" s="42"/>
      <c r="Q82" s="42"/>
      <c r="R82" s="42"/>
      <c r="S82" s="42"/>
      <c r="T82" s="42"/>
      <c r="U82" s="42"/>
      <c r="V82" s="42"/>
      <c r="W82" s="42"/>
      <c r="X82" s="42"/>
    </row>
    <row r="83" spans="1:24" ht="19.5" customHeight="1" x14ac:dyDescent="0.25">
      <c r="A83" s="4"/>
      <c r="B83" s="4"/>
      <c r="C83" s="25"/>
      <c r="D83" s="25"/>
      <c r="E83" s="26"/>
      <c r="F83" s="26"/>
      <c r="G83" s="27"/>
      <c r="H83" s="27"/>
      <c r="I83" s="27"/>
      <c r="J83" s="6"/>
      <c r="K83" s="27" t="s">
        <v>33</v>
      </c>
      <c r="L83" s="27" t="s">
        <v>228</v>
      </c>
      <c r="M83" s="27" t="s">
        <v>34</v>
      </c>
      <c r="N83" s="27" t="s">
        <v>35</v>
      </c>
      <c r="O83" s="27" t="s">
        <v>36</v>
      </c>
      <c r="P83" s="27" t="s">
        <v>37</v>
      </c>
      <c r="Q83" s="27" t="s">
        <v>38</v>
      </c>
      <c r="R83" s="27" t="s">
        <v>39</v>
      </c>
      <c r="S83" s="27" t="s">
        <v>40</v>
      </c>
      <c r="T83" s="27" t="s">
        <v>176</v>
      </c>
      <c r="U83" s="27" t="s">
        <v>229</v>
      </c>
      <c r="V83" s="27" t="s">
        <v>230</v>
      </c>
      <c r="W83" s="27" t="s">
        <v>231</v>
      </c>
      <c r="X83" s="28" t="s">
        <v>232</v>
      </c>
    </row>
    <row r="84" spans="1:24" ht="15" x14ac:dyDescent="0.2">
      <c r="A84" s="29"/>
      <c r="B84" s="29"/>
      <c r="C84" s="30"/>
      <c r="D84" s="30"/>
      <c r="E84" s="30"/>
      <c r="F84" s="31"/>
      <c r="G84" s="30"/>
      <c r="H84" s="30"/>
      <c r="I84" s="30"/>
      <c r="J84" s="32"/>
      <c r="K84" s="33"/>
      <c r="L84" s="30"/>
      <c r="M84" s="31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28"/>
    </row>
  </sheetData>
  <phoneticPr fontId="0" type="noConversion"/>
  <printOptions horizontalCentered="1" verticalCentered="1" gridLines="1" gridLinesSet="0"/>
  <pageMargins left="0.78740157480314965" right="0.6692913385826772" top="1.1811023622047245" bottom="0.98425196850393704" header="0.70866141732283472" footer="0.51181102362204722"/>
  <pageSetup paperSize="9" scale="10" orientation="landscape" horizontalDpi="4294967292" verticalDpi="180" r:id="rId1"/>
  <headerFooter alignWithMargins="0">
    <oddHeader>&amp;C&amp;"Arial,Negrito"&amp;14&amp;A</oddHeader>
    <oddFooter>&amp;C&amp;"Arial,Negrito"&amp;14&amp;F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35F17-7D54-4769-93FA-09E41B897B0C}">
  <sheetPr>
    <pageSetUpPr fitToPage="1"/>
  </sheetPr>
  <dimension ref="A1:H112"/>
  <sheetViews>
    <sheetView showGridLines="0" showZeros="0" tabSelected="1" view="pageBreakPreview" zoomScaleNormal="85" zoomScaleSheetLayoutView="100" workbookViewId="0">
      <pane ySplit="6" topLeftCell="A7" activePane="bottomLeft" state="frozen"/>
      <selection pane="bottomLeft" activeCell="G19" sqref="G19"/>
    </sheetView>
  </sheetViews>
  <sheetFormatPr defaultColWidth="21.6640625" defaultRowHeight="11.25" x14ac:dyDescent="0.2"/>
  <cols>
    <col min="1" max="1" width="15.1640625" style="339" customWidth="1"/>
    <col min="2" max="2" width="11.33203125" style="339" customWidth="1"/>
    <col min="3" max="3" width="71.5" style="319" customWidth="1"/>
    <col min="4" max="4" width="6.5" style="319" customWidth="1"/>
    <col min="5" max="5" width="11.1640625" style="319" customWidth="1"/>
    <col min="6" max="6" width="10.5" style="319" customWidth="1"/>
    <col min="7" max="7" width="15.1640625" style="319" customWidth="1"/>
    <col min="8" max="8" width="14" style="319" customWidth="1"/>
    <col min="9" max="9" width="21.6640625" style="319"/>
    <col min="10" max="10" width="5.6640625" style="319" customWidth="1"/>
    <col min="11" max="16384" width="21.6640625" style="319"/>
  </cols>
  <sheetData>
    <row r="1" spans="1:8" s="274" customFormat="1" ht="25.15" customHeight="1" thickBot="1" x14ac:dyDescent="0.25">
      <c r="A1" s="318" t="s">
        <v>83</v>
      </c>
      <c r="B1" s="340"/>
      <c r="C1" s="341"/>
      <c r="D1" s="341"/>
      <c r="E1" s="341"/>
      <c r="F1" s="341"/>
      <c r="G1" s="341"/>
      <c r="H1" s="342"/>
    </row>
    <row r="2" spans="1:8" x14ac:dyDescent="0.2">
      <c r="A2" s="275" t="s">
        <v>86</v>
      </c>
      <c r="B2" s="276"/>
      <c r="C2" s="277" t="s">
        <v>306</v>
      </c>
      <c r="D2" s="278"/>
      <c r="E2" s="278"/>
      <c r="F2" s="278"/>
      <c r="G2" s="279" t="s">
        <v>87</v>
      </c>
      <c r="H2" s="280" t="s">
        <v>308</v>
      </c>
    </row>
    <row r="3" spans="1:8" x14ac:dyDescent="0.2">
      <c r="A3" s="281" t="s">
        <v>254</v>
      </c>
      <c r="B3" s="282"/>
      <c r="C3" s="283" t="s">
        <v>309</v>
      </c>
      <c r="D3" s="284"/>
      <c r="E3" s="284"/>
      <c r="F3" s="284"/>
      <c r="G3" s="285" t="s">
        <v>88</v>
      </c>
      <c r="H3" s="286" t="s">
        <v>163</v>
      </c>
    </row>
    <row r="4" spans="1:8" ht="12" thickBot="1" x14ac:dyDescent="0.25">
      <c r="A4" s="287" t="s">
        <v>256</v>
      </c>
      <c r="B4" s="288"/>
      <c r="C4" s="289" t="s">
        <v>307</v>
      </c>
      <c r="D4" s="290"/>
      <c r="E4" s="290"/>
      <c r="F4" s="290"/>
      <c r="G4" s="290"/>
      <c r="H4" s="291"/>
    </row>
    <row r="5" spans="1:8" ht="12" thickBot="1" x14ac:dyDescent="0.25">
      <c r="A5" s="292" t="s">
        <v>148</v>
      </c>
      <c r="B5" s="293" t="s">
        <v>255</v>
      </c>
      <c r="C5" s="294" t="s">
        <v>81</v>
      </c>
      <c r="D5" s="295" t="s">
        <v>82</v>
      </c>
      <c r="E5" s="296" t="s">
        <v>84</v>
      </c>
      <c r="F5" s="297"/>
      <c r="G5" s="298"/>
      <c r="H5" s="298"/>
    </row>
    <row r="6" spans="1:8" ht="23.25" thickBot="1" x14ac:dyDescent="0.25">
      <c r="A6" s="320" t="s">
        <v>89</v>
      </c>
      <c r="B6" s="321"/>
      <c r="C6" s="299"/>
      <c r="D6" s="300"/>
      <c r="E6" s="301" t="s">
        <v>0</v>
      </c>
      <c r="F6" s="302" t="s">
        <v>1</v>
      </c>
      <c r="G6" s="303" t="s">
        <v>2</v>
      </c>
      <c r="H6" s="304" t="s">
        <v>85</v>
      </c>
    </row>
    <row r="7" spans="1:8" ht="12" thickBot="1" x14ac:dyDescent="0.25">
      <c r="A7" s="305" t="s">
        <v>163</v>
      </c>
      <c r="B7" s="306"/>
      <c r="C7" s="322" t="s">
        <v>154</v>
      </c>
      <c r="D7" s="307" t="s">
        <v>167</v>
      </c>
      <c r="E7" s="308"/>
      <c r="F7" s="307"/>
      <c r="G7" s="309"/>
      <c r="H7" s="310">
        <v>2092.91</v>
      </c>
    </row>
    <row r="8" spans="1:8" ht="33" customHeight="1" thickBot="1" x14ac:dyDescent="0.25">
      <c r="A8" s="323" t="s">
        <v>278</v>
      </c>
      <c r="B8" s="324" t="s">
        <v>258</v>
      </c>
      <c r="C8" s="325" t="s">
        <v>257</v>
      </c>
      <c r="D8" s="326" t="s">
        <v>7</v>
      </c>
      <c r="E8" s="327">
        <v>1</v>
      </c>
      <c r="F8" s="328">
        <v>2092.91</v>
      </c>
      <c r="G8" s="329">
        <v>2092.91</v>
      </c>
      <c r="H8" s="330"/>
    </row>
    <row r="9" spans="1:8" ht="12" thickBot="1" x14ac:dyDescent="0.25">
      <c r="A9" s="311" t="s">
        <v>94</v>
      </c>
      <c r="B9" s="312"/>
      <c r="C9" s="331" t="s">
        <v>155</v>
      </c>
      <c r="D9" s="307" t="s">
        <v>167</v>
      </c>
      <c r="E9" s="308">
        <v>0</v>
      </c>
      <c r="F9" s="307">
        <v>0</v>
      </c>
      <c r="G9" s="309"/>
      <c r="H9" s="310">
        <v>24617.99</v>
      </c>
    </row>
    <row r="10" spans="1:8" x14ac:dyDescent="0.2">
      <c r="A10" s="323" t="s">
        <v>274</v>
      </c>
      <c r="B10" s="324" t="s">
        <v>93</v>
      </c>
      <c r="C10" s="325" t="s">
        <v>279</v>
      </c>
      <c r="D10" s="326" t="s">
        <v>3</v>
      </c>
      <c r="E10" s="332">
        <v>266.39999999999998</v>
      </c>
      <c r="F10" s="332">
        <v>85.13</v>
      </c>
      <c r="G10" s="329">
        <v>22678.63</v>
      </c>
      <c r="H10" s="330"/>
    </row>
    <row r="11" spans="1:8" ht="12" thickBot="1" x14ac:dyDescent="0.25">
      <c r="A11" s="323" t="s">
        <v>275</v>
      </c>
      <c r="B11" s="324" t="s">
        <v>93</v>
      </c>
      <c r="C11" s="325" t="s">
        <v>92</v>
      </c>
      <c r="D11" s="326" t="s">
        <v>5</v>
      </c>
      <c r="E11" s="332">
        <v>577.19000000000005</v>
      </c>
      <c r="F11" s="332">
        <v>3.36</v>
      </c>
      <c r="G11" s="329">
        <v>1939.36</v>
      </c>
      <c r="H11" s="330"/>
    </row>
    <row r="12" spans="1:8" ht="12" thickBot="1" x14ac:dyDescent="0.25">
      <c r="A12" s="311" t="s">
        <v>95</v>
      </c>
      <c r="B12" s="312"/>
      <c r="C12" s="331" t="s">
        <v>151</v>
      </c>
      <c r="D12" s="307" t="s">
        <v>167</v>
      </c>
      <c r="E12" s="308">
        <v>0</v>
      </c>
      <c r="F12" s="307">
        <v>0</v>
      </c>
      <c r="G12" s="309"/>
      <c r="H12" s="310">
        <v>230867.24</v>
      </c>
    </row>
    <row r="13" spans="1:8" x14ac:dyDescent="0.2">
      <c r="A13" s="323" t="s">
        <v>79</v>
      </c>
      <c r="B13" s="324" t="s">
        <v>93</v>
      </c>
      <c r="C13" s="325" t="s">
        <v>97</v>
      </c>
      <c r="D13" s="326" t="s">
        <v>5</v>
      </c>
      <c r="E13" s="332">
        <v>3274.61</v>
      </c>
      <c r="F13" s="332">
        <v>70.28</v>
      </c>
      <c r="G13" s="329">
        <v>230139.59</v>
      </c>
      <c r="H13" s="330"/>
    </row>
    <row r="14" spans="1:8" ht="12" thickBot="1" x14ac:dyDescent="0.25">
      <c r="A14" s="333" t="s">
        <v>277</v>
      </c>
      <c r="B14" s="334" t="s">
        <v>93</v>
      </c>
      <c r="C14" s="335" t="s">
        <v>168</v>
      </c>
      <c r="D14" s="326" t="s">
        <v>6</v>
      </c>
      <c r="E14" s="327">
        <v>55</v>
      </c>
      <c r="F14" s="328">
        <v>13.23</v>
      </c>
      <c r="G14" s="329">
        <v>727.65</v>
      </c>
      <c r="H14" s="330"/>
    </row>
    <row r="15" spans="1:8" ht="12" thickBot="1" x14ac:dyDescent="0.25">
      <c r="A15" s="311" t="s">
        <v>90</v>
      </c>
      <c r="B15" s="312"/>
      <c r="C15" s="331" t="s">
        <v>152</v>
      </c>
      <c r="D15" s="307" t="s">
        <v>167</v>
      </c>
      <c r="E15" s="308">
        <v>0</v>
      </c>
      <c r="F15" s="307">
        <v>0</v>
      </c>
      <c r="G15" s="309"/>
      <c r="H15" s="310">
        <v>21235.17</v>
      </c>
    </row>
    <row r="16" spans="1:8" ht="12" thickBot="1" x14ac:dyDescent="0.25">
      <c r="A16" s="323">
        <v>810150</v>
      </c>
      <c r="B16" s="324" t="s">
        <v>93</v>
      </c>
      <c r="C16" s="325" t="s">
        <v>101</v>
      </c>
      <c r="D16" s="326" t="s">
        <v>6</v>
      </c>
      <c r="E16" s="332">
        <v>438.2</v>
      </c>
      <c r="F16" s="332">
        <v>48.46</v>
      </c>
      <c r="G16" s="329">
        <v>21235.17</v>
      </c>
      <c r="H16" s="330"/>
    </row>
    <row r="17" spans="1:8" ht="12" thickBot="1" x14ac:dyDescent="0.25">
      <c r="A17" s="311" t="s">
        <v>96</v>
      </c>
      <c r="B17" s="312"/>
      <c r="C17" s="331" t="s">
        <v>172</v>
      </c>
      <c r="D17" s="307" t="s">
        <v>167</v>
      </c>
      <c r="E17" s="308">
        <v>0</v>
      </c>
      <c r="F17" s="307">
        <v>0</v>
      </c>
      <c r="G17" s="309"/>
      <c r="H17" s="310">
        <v>29202.03</v>
      </c>
    </row>
    <row r="18" spans="1:8" x14ac:dyDescent="0.2">
      <c r="A18" s="323" t="s">
        <v>273</v>
      </c>
      <c r="B18" s="324" t="s">
        <v>93</v>
      </c>
      <c r="C18" s="325" t="s">
        <v>102</v>
      </c>
      <c r="D18" s="326" t="s">
        <v>3</v>
      </c>
      <c r="E18" s="332">
        <v>1.87</v>
      </c>
      <c r="F18" s="332">
        <v>147.93</v>
      </c>
      <c r="G18" s="329">
        <v>276.63</v>
      </c>
      <c r="H18" s="313"/>
    </row>
    <row r="19" spans="1:8" x14ac:dyDescent="0.2">
      <c r="A19" s="323" t="s">
        <v>106</v>
      </c>
      <c r="B19" s="324" t="s">
        <v>93</v>
      </c>
      <c r="C19" s="325" t="s">
        <v>103</v>
      </c>
      <c r="D19" s="326" t="s">
        <v>5</v>
      </c>
      <c r="E19" s="332">
        <v>577.19000000000005</v>
      </c>
      <c r="F19" s="332">
        <v>27.91</v>
      </c>
      <c r="G19" s="329">
        <v>16109.37</v>
      </c>
      <c r="H19" s="330"/>
    </row>
    <row r="20" spans="1:8" x14ac:dyDescent="0.2">
      <c r="A20" s="323" t="s">
        <v>276</v>
      </c>
      <c r="B20" s="324" t="s">
        <v>93</v>
      </c>
      <c r="C20" s="325" t="s">
        <v>305</v>
      </c>
      <c r="D20" s="326" t="s">
        <v>5</v>
      </c>
      <c r="E20" s="332">
        <v>110.81</v>
      </c>
      <c r="F20" s="332">
        <v>70.040000000000006</v>
      </c>
      <c r="G20" s="329">
        <v>7761.13</v>
      </c>
      <c r="H20" s="330"/>
    </row>
    <row r="21" spans="1:8" ht="12" thickBot="1" x14ac:dyDescent="0.25">
      <c r="A21" s="323" t="s">
        <v>280</v>
      </c>
      <c r="B21" s="324" t="s">
        <v>93</v>
      </c>
      <c r="C21" s="325" t="s">
        <v>104</v>
      </c>
      <c r="D21" s="326" t="s">
        <v>7</v>
      </c>
      <c r="E21" s="332">
        <v>10</v>
      </c>
      <c r="F21" s="332">
        <v>505.49</v>
      </c>
      <c r="G21" s="329">
        <v>5054.8999999999996</v>
      </c>
      <c r="H21" s="330"/>
    </row>
    <row r="22" spans="1:8" ht="12" thickBot="1" x14ac:dyDescent="0.25">
      <c r="A22" s="311" t="s">
        <v>149</v>
      </c>
      <c r="B22" s="312"/>
      <c r="C22" s="331" t="s">
        <v>156</v>
      </c>
      <c r="D22" s="307" t="s">
        <v>167</v>
      </c>
      <c r="E22" s="308">
        <v>0</v>
      </c>
      <c r="F22" s="307">
        <v>0</v>
      </c>
      <c r="G22" s="309"/>
      <c r="H22" s="310">
        <v>6099.7800000000007</v>
      </c>
    </row>
    <row r="23" spans="1:8" x14ac:dyDescent="0.2">
      <c r="A23" s="323">
        <v>822000</v>
      </c>
      <c r="B23" s="324" t="s">
        <v>93</v>
      </c>
      <c r="C23" s="325" t="s">
        <v>161</v>
      </c>
      <c r="D23" s="326" t="s">
        <v>5</v>
      </c>
      <c r="E23" s="332">
        <v>142</v>
      </c>
      <c r="F23" s="332">
        <v>28.31</v>
      </c>
      <c r="G23" s="329">
        <v>4020.02</v>
      </c>
      <c r="H23" s="330"/>
    </row>
    <row r="24" spans="1:8" ht="12" thickBot="1" x14ac:dyDescent="0.25">
      <c r="A24" s="323" t="s">
        <v>107</v>
      </c>
      <c r="B24" s="324" t="s">
        <v>93</v>
      </c>
      <c r="C24" s="325" t="s">
        <v>105</v>
      </c>
      <c r="D24" s="326" t="s">
        <v>7</v>
      </c>
      <c r="E24" s="332">
        <v>4</v>
      </c>
      <c r="F24" s="332">
        <v>519.94000000000005</v>
      </c>
      <c r="G24" s="329">
        <v>2079.7600000000002</v>
      </c>
      <c r="H24" s="330"/>
    </row>
    <row r="25" spans="1:8" ht="12" thickBot="1" x14ac:dyDescent="0.25">
      <c r="A25" s="311" t="s">
        <v>160</v>
      </c>
      <c r="B25" s="312"/>
      <c r="C25" s="331" t="s">
        <v>153</v>
      </c>
      <c r="D25" s="307" t="s">
        <v>167</v>
      </c>
      <c r="E25" s="308">
        <v>0</v>
      </c>
      <c r="F25" s="307">
        <v>0</v>
      </c>
      <c r="G25" s="309"/>
      <c r="H25" s="310">
        <v>39023.270000000004</v>
      </c>
    </row>
    <row r="26" spans="1:8" x14ac:dyDescent="0.2">
      <c r="A26" s="323">
        <v>600300</v>
      </c>
      <c r="B26" s="324" t="s">
        <v>93</v>
      </c>
      <c r="C26" s="325" t="s">
        <v>109</v>
      </c>
      <c r="D26" s="326" t="s">
        <v>3</v>
      </c>
      <c r="E26" s="332">
        <v>157.24</v>
      </c>
      <c r="F26" s="332">
        <v>9.17</v>
      </c>
      <c r="G26" s="329">
        <v>1441.89</v>
      </c>
      <c r="H26" s="330"/>
    </row>
    <row r="27" spans="1:8" x14ac:dyDescent="0.2">
      <c r="A27" s="323" t="s">
        <v>281</v>
      </c>
      <c r="B27" s="324" t="s">
        <v>93</v>
      </c>
      <c r="C27" s="325" t="s">
        <v>233</v>
      </c>
      <c r="D27" s="326" t="s">
        <v>3</v>
      </c>
      <c r="E27" s="332">
        <v>133.12</v>
      </c>
      <c r="F27" s="332">
        <v>31.06</v>
      </c>
      <c r="G27" s="329">
        <v>4134.71</v>
      </c>
      <c r="H27" s="330"/>
    </row>
    <row r="28" spans="1:8" x14ac:dyDescent="0.2">
      <c r="A28" s="323" t="s">
        <v>282</v>
      </c>
      <c r="B28" s="324" t="s">
        <v>93</v>
      </c>
      <c r="C28" s="325" t="s">
        <v>110</v>
      </c>
      <c r="D28" s="326" t="s">
        <v>6</v>
      </c>
      <c r="E28" s="332">
        <v>42.5</v>
      </c>
      <c r="F28" s="332">
        <v>103.83</v>
      </c>
      <c r="G28" s="329">
        <v>4412.78</v>
      </c>
      <c r="H28" s="330"/>
    </row>
    <row r="29" spans="1:8" x14ac:dyDescent="0.2">
      <c r="A29" s="323" t="s">
        <v>283</v>
      </c>
      <c r="B29" s="324" t="s">
        <v>93</v>
      </c>
      <c r="C29" s="325" t="s">
        <v>111</v>
      </c>
      <c r="D29" s="326" t="s">
        <v>6</v>
      </c>
      <c r="E29" s="332">
        <v>66.400000000000006</v>
      </c>
      <c r="F29" s="332">
        <v>170.19</v>
      </c>
      <c r="G29" s="329">
        <v>11300.62</v>
      </c>
      <c r="H29" s="330"/>
    </row>
    <row r="30" spans="1:8" x14ac:dyDescent="0.2">
      <c r="A30" s="323" t="s">
        <v>8</v>
      </c>
      <c r="B30" s="324" t="s">
        <v>93</v>
      </c>
      <c r="C30" s="325" t="s">
        <v>26</v>
      </c>
      <c r="D30" s="326" t="s">
        <v>7</v>
      </c>
      <c r="E30" s="332">
        <v>8</v>
      </c>
      <c r="F30" s="332">
        <v>1365.28</v>
      </c>
      <c r="G30" s="329">
        <v>10922.24</v>
      </c>
      <c r="H30" s="330"/>
    </row>
    <row r="31" spans="1:8" x14ac:dyDescent="0.2">
      <c r="A31" s="323" t="s">
        <v>55</v>
      </c>
      <c r="B31" s="324" t="s">
        <v>93</v>
      </c>
      <c r="C31" s="325" t="s">
        <v>41</v>
      </c>
      <c r="D31" s="326" t="s">
        <v>7</v>
      </c>
      <c r="E31" s="332">
        <v>2</v>
      </c>
      <c r="F31" s="332">
        <v>504.74</v>
      </c>
      <c r="G31" s="329">
        <v>1009.48</v>
      </c>
      <c r="H31" s="330"/>
    </row>
    <row r="32" spans="1:8" x14ac:dyDescent="0.2">
      <c r="A32" s="323" t="s">
        <v>9</v>
      </c>
      <c r="B32" s="324" t="s">
        <v>93</v>
      </c>
      <c r="C32" s="325" t="s">
        <v>42</v>
      </c>
      <c r="D32" s="326" t="s">
        <v>7</v>
      </c>
      <c r="E32" s="332">
        <v>2</v>
      </c>
      <c r="F32" s="332">
        <v>766.82</v>
      </c>
      <c r="G32" s="329">
        <v>1533.64</v>
      </c>
      <c r="H32" s="330"/>
    </row>
    <row r="33" spans="1:8" x14ac:dyDescent="0.2">
      <c r="A33" s="323" t="s">
        <v>56</v>
      </c>
      <c r="B33" s="324" t="s">
        <v>93</v>
      </c>
      <c r="C33" s="325" t="s">
        <v>58</v>
      </c>
      <c r="D33" s="326" t="s">
        <v>7</v>
      </c>
      <c r="E33" s="332">
        <v>1</v>
      </c>
      <c r="F33" s="332">
        <v>2805.33</v>
      </c>
      <c r="G33" s="329">
        <v>2805.33</v>
      </c>
      <c r="H33" s="330"/>
    </row>
    <row r="34" spans="1:8" ht="12" thickBot="1" x14ac:dyDescent="0.25">
      <c r="A34" s="323" t="s">
        <v>10</v>
      </c>
      <c r="B34" s="324" t="s">
        <v>93</v>
      </c>
      <c r="C34" s="325" t="s">
        <v>136</v>
      </c>
      <c r="D34" s="326" t="s">
        <v>7</v>
      </c>
      <c r="E34" s="332">
        <v>1</v>
      </c>
      <c r="F34" s="332">
        <v>1462.58</v>
      </c>
      <c r="G34" s="329">
        <v>1462.58</v>
      </c>
      <c r="H34" s="330"/>
    </row>
    <row r="35" spans="1:8" ht="45.75" thickBot="1" x14ac:dyDescent="0.25">
      <c r="A35" s="311" t="s">
        <v>164</v>
      </c>
      <c r="B35" s="312"/>
      <c r="C35" s="331" t="s">
        <v>284</v>
      </c>
      <c r="D35" s="307" t="s">
        <v>167</v>
      </c>
      <c r="E35" s="308">
        <v>0</v>
      </c>
      <c r="F35" s="307">
        <v>0</v>
      </c>
      <c r="G35" s="309"/>
      <c r="H35" s="310">
        <v>698.6</v>
      </c>
    </row>
    <row r="36" spans="1:8" ht="23.25" thickBot="1" x14ac:dyDescent="0.25">
      <c r="A36" s="323" t="s">
        <v>171</v>
      </c>
      <c r="B36" s="324" t="s">
        <v>166</v>
      </c>
      <c r="C36" s="325" t="s">
        <v>165</v>
      </c>
      <c r="D36" s="326" t="s">
        <v>7</v>
      </c>
      <c r="E36" s="332">
        <v>5</v>
      </c>
      <c r="F36" s="332">
        <v>139.72</v>
      </c>
      <c r="G36" s="329">
        <v>698.6</v>
      </c>
      <c r="H36" s="330"/>
    </row>
    <row r="37" spans="1:8" ht="12" thickBot="1" x14ac:dyDescent="0.25">
      <c r="A37" s="336" t="s">
        <v>80</v>
      </c>
      <c r="B37" s="337"/>
      <c r="C37" s="314" t="s">
        <v>162</v>
      </c>
      <c r="D37" s="315"/>
      <c r="E37" s="316"/>
      <c r="F37" s="317"/>
      <c r="G37" s="310">
        <v>353836.99000000011</v>
      </c>
      <c r="H37" s="310">
        <v>353836.99</v>
      </c>
    </row>
    <row r="38" spans="1:8" x14ac:dyDescent="0.2">
      <c r="A38" s="319"/>
      <c r="B38" s="319"/>
    </row>
    <row r="39" spans="1:8" x14ac:dyDescent="0.2">
      <c r="A39" s="319"/>
      <c r="B39" s="319"/>
    </row>
    <row r="40" spans="1:8" x14ac:dyDescent="0.2">
      <c r="A40" s="319"/>
      <c r="B40" s="319"/>
    </row>
    <row r="41" spans="1:8" x14ac:dyDescent="0.2">
      <c r="A41" s="319"/>
      <c r="B41" s="319"/>
    </row>
    <row r="42" spans="1:8" x14ac:dyDescent="0.2">
      <c r="A42" s="319"/>
      <c r="B42" s="319"/>
    </row>
    <row r="43" spans="1:8" x14ac:dyDescent="0.2">
      <c r="A43" s="319"/>
      <c r="B43" s="319"/>
    </row>
    <row r="44" spans="1:8" x14ac:dyDescent="0.2">
      <c r="A44" s="319"/>
      <c r="B44" s="319"/>
    </row>
    <row r="45" spans="1:8" x14ac:dyDescent="0.2">
      <c r="A45" s="319"/>
      <c r="B45" s="319"/>
    </row>
    <row r="46" spans="1:8" x14ac:dyDescent="0.2">
      <c r="A46" s="319"/>
      <c r="B46" s="319"/>
    </row>
    <row r="47" spans="1:8" x14ac:dyDescent="0.2">
      <c r="A47" s="319"/>
      <c r="B47" s="319"/>
    </row>
    <row r="48" spans="1:8" x14ac:dyDescent="0.2">
      <c r="A48" s="319"/>
      <c r="B48" s="319"/>
      <c r="C48" s="338"/>
    </row>
    <row r="49" s="319" customFormat="1" x14ac:dyDescent="0.2"/>
    <row r="50" s="319" customFormat="1" x14ac:dyDescent="0.2"/>
    <row r="51" s="319" customFormat="1" x14ac:dyDescent="0.2"/>
    <row r="52" s="319" customFormat="1" x14ac:dyDescent="0.2"/>
    <row r="53" s="319" customFormat="1" x14ac:dyDescent="0.2"/>
    <row r="54" s="319" customFormat="1" x14ac:dyDescent="0.2"/>
    <row r="55" s="319" customFormat="1" x14ac:dyDescent="0.2"/>
    <row r="56" s="319" customFormat="1" x14ac:dyDescent="0.2"/>
    <row r="57" s="319" customFormat="1" x14ac:dyDescent="0.2"/>
    <row r="58" s="319" customFormat="1" x14ac:dyDescent="0.2"/>
    <row r="59" s="319" customFormat="1" x14ac:dyDescent="0.2"/>
    <row r="60" s="319" customFormat="1" x14ac:dyDescent="0.2"/>
    <row r="61" s="319" customFormat="1" x14ac:dyDescent="0.2"/>
    <row r="62" s="319" customFormat="1" x14ac:dyDescent="0.2"/>
    <row r="63" s="319" customFormat="1" x14ac:dyDescent="0.2"/>
    <row r="64" s="319" customFormat="1" x14ac:dyDescent="0.2"/>
    <row r="65" s="319" customFormat="1" x14ac:dyDescent="0.2"/>
    <row r="66" s="319" customFormat="1" x14ac:dyDescent="0.2"/>
    <row r="67" s="319" customFormat="1" x14ac:dyDescent="0.2"/>
    <row r="68" s="319" customFormat="1" x14ac:dyDescent="0.2"/>
    <row r="69" s="319" customFormat="1" x14ac:dyDescent="0.2"/>
    <row r="70" s="319" customFormat="1" x14ac:dyDescent="0.2"/>
    <row r="71" s="319" customFormat="1" x14ac:dyDescent="0.2"/>
    <row r="72" s="319" customFormat="1" x14ac:dyDescent="0.2"/>
    <row r="73" s="319" customFormat="1" x14ac:dyDescent="0.2"/>
    <row r="74" s="319" customFormat="1" x14ac:dyDescent="0.2"/>
    <row r="75" s="319" customFormat="1" x14ac:dyDescent="0.2"/>
    <row r="76" s="319" customFormat="1" x14ac:dyDescent="0.2"/>
    <row r="77" s="319" customFormat="1" x14ac:dyDescent="0.2"/>
    <row r="78" s="319" customFormat="1" x14ac:dyDescent="0.2"/>
    <row r="79" s="319" customFormat="1" x14ac:dyDescent="0.2"/>
    <row r="80" s="319" customFormat="1" x14ac:dyDescent="0.2"/>
    <row r="81" s="319" customFormat="1" x14ac:dyDescent="0.2"/>
    <row r="82" s="319" customFormat="1" x14ac:dyDescent="0.2"/>
    <row r="83" s="319" customFormat="1" x14ac:dyDescent="0.2"/>
    <row r="84" s="319" customFormat="1" x14ac:dyDescent="0.2"/>
    <row r="85" s="319" customFormat="1" x14ac:dyDescent="0.2"/>
    <row r="86" s="319" customFormat="1" x14ac:dyDescent="0.2"/>
    <row r="87" s="319" customFormat="1" x14ac:dyDescent="0.2"/>
    <row r="88" s="319" customFormat="1" x14ac:dyDescent="0.2"/>
    <row r="89" s="319" customFormat="1" x14ac:dyDescent="0.2"/>
    <row r="90" s="319" customFormat="1" x14ac:dyDescent="0.2"/>
    <row r="91" s="319" customFormat="1" x14ac:dyDescent="0.2"/>
    <row r="92" s="319" customFormat="1" x14ac:dyDescent="0.2"/>
    <row r="93" s="319" customFormat="1" x14ac:dyDescent="0.2"/>
    <row r="94" s="319" customFormat="1" x14ac:dyDescent="0.2"/>
    <row r="95" s="319" customFormat="1" x14ac:dyDescent="0.2"/>
    <row r="96" s="319" customFormat="1" x14ac:dyDescent="0.2"/>
    <row r="97" s="319" customFormat="1" x14ac:dyDescent="0.2"/>
    <row r="98" s="319" customFormat="1" x14ac:dyDescent="0.2"/>
    <row r="99" s="319" customFormat="1" x14ac:dyDescent="0.2"/>
    <row r="100" s="319" customFormat="1" x14ac:dyDescent="0.2"/>
    <row r="101" s="319" customFormat="1" x14ac:dyDescent="0.2"/>
    <row r="102" s="319" customFormat="1" x14ac:dyDescent="0.2"/>
    <row r="103" s="319" customFormat="1" x14ac:dyDescent="0.2"/>
    <row r="104" s="319" customFormat="1" x14ac:dyDescent="0.2"/>
    <row r="105" s="319" customFormat="1" x14ac:dyDescent="0.2"/>
    <row r="106" s="319" customFormat="1" x14ac:dyDescent="0.2"/>
    <row r="107" s="319" customFormat="1" x14ac:dyDescent="0.2"/>
    <row r="108" s="319" customFormat="1" x14ac:dyDescent="0.2"/>
    <row r="109" s="319" customFormat="1" x14ac:dyDescent="0.2"/>
    <row r="110" s="319" customFormat="1" x14ac:dyDescent="0.2"/>
    <row r="111" s="319" customFormat="1" x14ac:dyDescent="0.2"/>
    <row r="112" s="319" customFormat="1" x14ac:dyDescent="0.2"/>
  </sheetData>
  <autoFilter ref="A6:P36" xr:uid="{00000000-0001-0000-0300-000000000000}"/>
  <pageMargins left="1.1811023622047245" right="0.78740157480314965" top="1.1811023622047245" bottom="0.78740157480314965" header="0.31496062992125984" footer="0.51181102362204722"/>
  <pageSetup paperSize="9" scale="66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573BE-9AE1-48AC-9D20-1EBA063EBD9A}">
  <dimension ref="A1:AA72"/>
  <sheetViews>
    <sheetView topLeftCell="A11" zoomScale="70" zoomScaleNormal="70" workbookViewId="0">
      <selection activeCell="P46" sqref="P46"/>
    </sheetView>
  </sheetViews>
  <sheetFormatPr defaultColWidth="9.1640625" defaultRowHeight="11.25" x14ac:dyDescent="0.2"/>
  <cols>
    <col min="1" max="1" width="39.5" style="51" customWidth="1"/>
    <col min="2" max="2" width="31" style="51" bestFit="1" customWidth="1"/>
    <col min="3" max="3" width="15.6640625" style="51" customWidth="1"/>
    <col min="4" max="4" width="1.83203125" style="51" customWidth="1"/>
    <col min="5" max="5" width="39.5" style="51" bestFit="1" customWidth="1"/>
    <col min="6" max="6" width="22.83203125" style="51" customWidth="1"/>
    <col min="7" max="7" width="4.83203125" style="51" customWidth="1"/>
    <col min="8" max="8" width="39.5" style="51" customWidth="1"/>
    <col min="9" max="9" width="31" style="51" bestFit="1" customWidth="1"/>
    <col min="10" max="10" width="15.6640625" style="51" customWidth="1"/>
    <col min="11" max="11" width="1.83203125" style="51" customWidth="1"/>
    <col min="12" max="12" width="39.5" style="51" bestFit="1" customWidth="1"/>
    <col min="13" max="13" width="22.83203125" style="51" customWidth="1"/>
    <col min="14" max="16384" width="9.1640625" style="51"/>
  </cols>
  <sheetData>
    <row r="1" spans="1:13" ht="27.75" x14ac:dyDescent="0.4">
      <c r="A1" s="188" t="s">
        <v>177</v>
      </c>
      <c r="B1" s="104"/>
      <c r="C1" s="104"/>
      <c r="D1" s="104"/>
      <c r="E1" s="104"/>
      <c r="F1" s="189" t="s">
        <v>226</v>
      </c>
      <c r="G1" s="190"/>
      <c r="H1" s="190"/>
      <c r="I1" s="190"/>
      <c r="J1" s="104"/>
      <c r="K1" s="104"/>
      <c r="L1" s="104"/>
      <c r="M1" s="104"/>
    </row>
    <row r="2" spans="1:13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12" thickBot="1" x14ac:dyDescent="0.2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 ht="12.6" customHeight="1" x14ac:dyDescent="0.25">
      <c r="A4" s="105" t="s">
        <v>178</v>
      </c>
      <c r="B4" s="53"/>
      <c r="C4" s="53"/>
      <c r="D4" s="53"/>
      <c r="E4" s="53"/>
      <c r="F4" s="54"/>
      <c r="G4" s="104"/>
      <c r="H4" s="105" t="s">
        <v>178</v>
      </c>
      <c r="I4" s="53"/>
      <c r="J4" s="53"/>
      <c r="K4" s="53"/>
      <c r="L4" s="53"/>
      <c r="M4" s="54"/>
    </row>
    <row r="5" spans="1:13" ht="12.6" customHeight="1" x14ac:dyDescent="0.25">
      <c r="A5" s="106" t="s">
        <v>179</v>
      </c>
      <c r="B5" s="55"/>
      <c r="C5" s="55"/>
      <c r="D5" s="55"/>
      <c r="E5" s="55"/>
      <c r="F5" s="56"/>
      <c r="G5" s="104"/>
      <c r="H5" s="106" t="s">
        <v>179</v>
      </c>
      <c r="I5" s="55"/>
      <c r="J5" s="55"/>
      <c r="K5" s="55"/>
      <c r="L5" s="55"/>
      <c r="M5" s="56"/>
    </row>
    <row r="6" spans="1:13" ht="12.6" customHeight="1" thickBot="1" x14ac:dyDescent="0.3">
      <c r="A6" s="107" t="s">
        <v>180</v>
      </c>
      <c r="B6" s="108"/>
      <c r="C6" s="108"/>
      <c r="D6" s="108"/>
      <c r="E6" s="108"/>
      <c r="F6" s="109"/>
      <c r="G6" s="104"/>
      <c r="H6" s="107" t="s">
        <v>180</v>
      </c>
      <c r="I6" s="57"/>
      <c r="J6" s="57"/>
      <c r="K6" s="57"/>
      <c r="L6" s="57"/>
      <c r="M6" s="58"/>
    </row>
    <row r="7" spans="1:13" ht="12" thickBot="1" x14ac:dyDescent="0.25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</row>
    <row r="8" spans="1:13" ht="20.25" x14ac:dyDescent="0.3">
      <c r="A8" s="110" t="s">
        <v>200</v>
      </c>
      <c r="B8" s="111" t="s">
        <v>207</v>
      </c>
      <c r="C8" s="59" t="s">
        <v>203</v>
      </c>
      <c r="D8" s="60"/>
      <c r="E8" s="60"/>
      <c r="F8" s="61"/>
      <c r="G8" s="104"/>
      <c r="H8" s="110" t="s">
        <v>202</v>
      </c>
      <c r="I8" s="111" t="s">
        <v>207</v>
      </c>
      <c r="J8" s="59" t="s">
        <v>203</v>
      </c>
      <c r="K8" s="60"/>
      <c r="L8" s="60"/>
      <c r="M8" s="61"/>
    </row>
    <row r="9" spans="1:13" ht="16.5" thickBot="1" x14ac:dyDescent="0.3">
      <c r="A9" s="112"/>
      <c r="B9" s="113" t="s">
        <v>183</v>
      </c>
      <c r="C9" s="62" t="s">
        <v>204</v>
      </c>
      <c r="D9" s="63"/>
      <c r="E9" s="63"/>
      <c r="F9" s="64"/>
      <c r="G9" s="104"/>
      <c r="H9" s="112"/>
      <c r="I9" s="113" t="s">
        <v>183</v>
      </c>
      <c r="J9" s="62" t="s">
        <v>204</v>
      </c>
      <c r="K9" s="63"/>
      <c r="L9" s="63"/>
      <c r="M9" s="64"/>
    </row>
    <row r="10" spans="1:13" ht="12" thickBot="1" x14ac:dyDescent="0.25">
      <c r="A10" s="114"/>
      <c r="B10" s="115"/>
      <c r="C10" s="115"/>
      <c r="D10" s="115"/>
      <c r="E10" s="115"/>
      <c r="F10" s="104"/>
      <c r="G10" s="104"/>
      <c r="H10" s="114"/>
      <c r="I10" s="115"/>
      <c r="J10" s="115"/>
      <c r="K10" s="115"/>
      <c r="L10" s="115"/>
      <c r="M10" s="104"/>
    </row>
    <row r="11" spans="1:13" ht="20.45" customHeight="1" x14ac:dyDescent="0.3">
      <c r="A11" s="116" t="s">
        <v>206</v>
      </c>
      <c r="B11" s="117"/>
      <c r="C11" s="118"/>
      <c r="D11" s="119"/>
      <c r="E11" s="120" t="s">
        <v>212</v>
      </c>
      <c r="F11" s="121"/>
      <c r="G11" s="104"/>
      <c r="H11" s="116" t="s">
        <v>206</v>
      </c>
      <c r="I11" s="117"/>
      <c r="J11" s="118"/>
      <c r="K11" s="119"/>
      <c r="L11" s="120" t="s">
        <v>212</v>
      </c>
      <c r="M11" s="121"/>
    </row>
    <row r="12" spans="1:13" ht="15.75" x14ac:dyDescent="0.25">
      <c r="A12" s="122" t="s">
        <v>208</v>
      </c>
      <c r="B12" s="123"/>
      <c r="C12" s="67"/>
      <c r="D12" s="124"/>
      <c r="E12" s="125"/>
      <c r="F12" s="126"/>
      <c r="G12" s="104"/>
      <c r="H12" s="122" t="s">
        <v>208</v>
      </c>
      <c r="I12" s="123"/>
      <c r="J12" s="67"/>
      <c r="K12" s="124"/>
      <c r="L12" s="125"/>
      <c r="M12" s="126"/>
    </row>
    <row r="13" spans="1:13" ht="20.25" x14ac:dyDescent="0.3">
      <c r="A13" s="127" t="s">
        <v>209</v>
      </c>
      <c r="B13" s="128"/>
      <c r="C13" s="68"/>
      <c r="D13" s="124"/>
      <c r="E13" s="129" t="s">
        <v>224</v>
      </c>
      <c r="F13" s="130"/>
      <c r="G13" s="104"/>
      <c r="H13" s="127" t="s">
        <v>209</v>
      </c>
      <c r="I13" s="128"/>
      <c r="J13" s="68"/>
      <c r="K13" s="124"/>
      <c r="L13" s="129" t="s">
        <v>213</v>
      </c>
      <c r="M13" s="130"/>
    </row>
    <row r="14" spans="1:13" ht="15.75" x14ac:dyDescent="0.25">
      <c r="A14" s="131" t="s">
        <v>181</v>
      </c>
      <c r="B14" s="132"/>
      <c r="C14" s="133"/>
      <c r="D14" s="124"/>
      <c r="E14" s="134" t="s">
        <v>182</v>
      </c>
      <c r="F14" s="135" t="s">
        <v>211</v>
      </c>
      <c r="G14" s="104"/>
      <c r="H14" s="131" t="s">
        <v>181</v>
      </c>
      <c r="I14" s="132"/>
      <c r="J14" s="133"/>
      <c r="K14" s="124"/>
      <c r="L14" s="134" t="s">
        <v>182</v>
      </c>
      <c r="M14" s="135" t="s">
        <v>211</v>
      </c>
    </row>
    <row r="15" spans="1:13" ht="15" x14ac:dyDescent="0.2">
      <c r="A15" s="136" t="s">
        <v>182</v>
      </c>
      <c r="B15" s="137" t="s">
        <v>210</v>
      </c>
      <c r="C15" s="138"/>
      <c r="D15" s="124"/>
      <c r="E15" s="139"/>
      <c r="F15" s="140" t="s">
        <v>214</v>
      </c>
      <c r="G15" s="104"/>
      <c r="H15" s="136" t="s">
        <v>182</v>
      </c>
      <c r="I15" s="137" t="s">
        <v>210</v>
      </c>
      <c r="J15" s="138"/>
      <c r="K15" s="124"/>
      <c r="L15" s="139"/>
      <c r="M15" s="140" t="s">
        <v>214</v>
      </c>
    </row>
    <row r="16" spans="1:13" ht="15.75" x14ac:dyDescent="0.25">
      <c r="A16" s="141" t="s">
        <v>184</v>
      </c>
      <c r="B16" s="69" t="s">
        <v>188</v>
      </c>
      <c r="C16" s="70"/>
      <c r="D16" s="124"/>
      <c r="E16" s="142"/>
      <c r="F16" s="143"/>
      <c r="G16" s="104"/>
      <c r="H16" s="141" t="s">
        <v>184</v>
      </c>
      <c r="I16" s="69" t="s">
        <v>188</v>
      </c>
      <c r="J16" s="70"/>
      <c r="K16" s="124"/>
      <c r="L16" s="142"/>
      <c r="M16" s="143"/>
    </row>
    <row r="17" spans="1:27" ht="15.75" x14ac:dyDescent="0.25">
      <c r="A17" s="144" t="s">
        <v>185</v>
      </c>
      <c r="B17" s="71" t="s">
        <v>189</v>
      </c>
      <c r="C17" s="72"/>
      <c r="D17" s="124"/>
      <c r="E17" s="145" t="s">
        <v>100</v>
      </c>
      <c r="F17" s="146">
        <f>SUM(C16:C18)</f>
        <v>0</v>
      </c>
      <c r="G17" s="104"/>
      <c r="H17" s="144" t="s">
        <v>185</v>
      </c>
      <c r="I17" s="71" t="s">
        <v>189</v>
      </c>
      <c r="J17" s="72"/>
      <c r="K17" s="124"/>
      <c r="L17" s="145" t="s">
        <v>100</v>
      </c>
      <c r="M17" s="146">
        <f>SUM(J16:J18)</f>
        <v>0</v>
      </c>
    </row>
    <row r="18" spans="1:27" ht="15.75" x14ac:dyDescent="0.25">
      <c r="A18" s="147" t="s">
        <v>186</v>
      </c>
      <c r="B18" s="73" t="s">
        <v>190</v>
      </c>
      <c r="C18" s="74"/>
      <c r="D18" s="124"/>
      <c r="E18" s="148"/>
      <c r="F18" s="149"/>
      <c r="G18" s="104"/>
      <c r="H18" s="147" t="s">
        <v>186</v>
      </c>
      <c r="I18" s="73" t="s">
        <v>190</v>
      </c>
      <c r="J18" s="74"/>
      <c r="K18" s="124"/>
      <c r="L18" s="148"/>
      <c r="M18" s="149"/>
      <c r="X18" s="75" t="s">
        <v>195</v>
      </c>
      <c r="Y18" s="66"/>
      <c r="Z18" s="66"/>
      <c r="AA18" s="76" t="s">
        <v>197</v>
      </c>
    </row>
    <row r="19" spans="1:27" ht="15.75" x14ac:dyDescent="0.25">
      <c r="A19" s="150" t="s">
        <v>98</v>
      </c>
      <c r="B19" s="77" t="s">
        <v>98</v>
      </c>
      <c r="C19" s="78"/>
      <c r="D19" s="124"/>
      <c r="E19" s="151" t="s">
        <v>98</v>
      </c>
      <c r="F19" s="152">
        <f>C19</f>
        <v>0</v>
      </c>
      <c r="G19" s="104"/>
      <c r="H19" s="150" t="s">
        <v>98</v>
      </c>
      <c r="I19" s="77" t="s">
        <v>98</v>
      </c>
      <c r="J19" s="78"/>
      <c r="K19" s="124"/>
      <c r="L19" s="151" t="s">
        <v>98</v>
      </c>
      <c r="M19" s="152">
        <f>J19</f>
        <v>0</v>
      </c>
      <c r="X19" s="79" t="s">
        <v>182</v>
      </c>
      <c r="Y19" s="65" t="s">
        <v>187</v>
      </c>
      <c r="Z19" s="65" t="s">
        <v>196</v>
      </c>
      <c r="AA19" s="76" t="s">
        <v>192</v>
      </c>
    </row>
    <row r="20" spans="1:27" ht="16.5" thickBot="1" x14ac:dyDescent="0.3">
      <c r="A20" s="150" t="s">
        <v>191</v>
      </c>
      <c r="B20" s="77" t="s">
        <v>99</v>
      </c>
      <c r="C20" s="78"/>
      <c r="D20" s="124"/>
      <c r="E20" s="153" t="s">
        <v>99</v>
      </c>
      <c r="F20" s="152">
        <f>C20</f>
        <v>0</v>
      </c>
      <c r="G20" s="104"/>
      <c r="H20" s="150" t="s">
        <v>191</v>
      </c>
      <c r="I20" s="77" t="s">
        <v>99</v>
      </c>
      <c r="J20" s="78"/>
      <c r="K20" s="124"/>
      <c r="L20" s="153" t="s">
        <v>99</v>
      </c>
      <c r="M20" s="152">
        <f>J20</f>
        <v>0</v>
      </c>
      <c r="X20" s="80"/>
      <c r="Y20" s="66"/>
      <c r="Z20" s="66"/>
      <c r="AA20" s="76" t="s">
        <v>194</v>
      </c>
    </row>
    <row r="21" spans="1:27" ht="15.75" x14ac:dyDescent="0.25">
      <c r="A21" s="154"/>
      <c r="B21" s="151" t="s">
        <v>193</v>
      </c>
      <c r="C21" s="155">
        <f>SUM(C16:C20)</f>
        <v>0</v>
      </c>
      <c r="D21" s="124"/>
      <c r="E21" s="151" t="s">
        <v>193</v>
      </c>
      <c r="F21" s="156">
        <f>SUM(F17:F20)</f>
        <v>0</v>
      </c>
      <c r="G21" s="104"/>
      <c r="H21" s="154"/>
      <c r="I21" s="151" t="s">
        <v>193</v>
      </c>
      <c r="J21" s="155">
        <f>SUM(J16:J20)</f>
        <v>0</v>
      </c>
      <c r="K21" s="124"/>
      <c r="L21" s="151" t="s">
        <v>193</v>
      </c>
      <c r="M21" s="156">
        <f>SUM(M17:M20)</f>
        <v>0</v>
      </c>
      <c r="W21" s="66"/>
      <c r="X21" s="79"/>
      <c r="Y21" s="81"/>
      <c r="Z21" s="82">
        <f>ROUND(C16*$Q$10,4)</f>
        <v>0</v>
      </c>
      <c r="AA21" s="83"/>
    </row>
    <row r="22" spans="1:27" ht="16.5" thickBot="1" x14ac:dyDescent="0.3">
      <c r="A22" s="157"/>
      <c r="B22" s="158" t="s">
        <v>205</v>
      </c>
      <c r="C22" s="159" t="str">
        <f>IF(C21=0,"",IF(C21=100%,"OK","erro"))</f>
        <v/>
      </c>
      <c r="D22" s="160"/>
      <c r="E22" s="158" t="s">
        <v>205</v>
      </c>
      <c r="F22" s="159" t="str">
        <f>IF(F21=0,"",IF(F21=100%,"OK","erro"))</f>
        <v/>
      </c>
      <c r="G22" s="104"/>
      <c r="H22" s="157"/>
      <c r="I22" s="158" t="s">
        <v>205</v>
      </c>
      <c r="J22" s="159" t="str">
        <f>IF(J21=100%,"OK","erro")</f>
        <v>erro</v>
      </c>
      <c r="K22" s="160"/>
      <c r="L22" s="158" t="s">
        <v>205</v>
      </c>
      <c r="M22" s="159" t="str">
        <f>IF(M21=0,"",IF(M21=100%,"OK","erro"))</f>
        <v/>
      </c>
      <c r="W22" s="66"/>
      <c r="X22" s="79"/>
      <c r="Y22" s="84" t="s">
        <v>100</v>
      </c>
      <c r="Z22" s="85">
        <f>ROUND(C17*$Q$10,4)</f>
        <v>0</v>
      </c>
      <c r="AA22" s="86">
        <f>SUM(Z21:Z23)</f>
        <v>0</v>
      </c>
    </row>
    <row r="23" spans="1:27" ht="12" thickBot="1" x14ac:dyDescent="0.25">
      <c r="A23" s="115"/>
      <c r="B23" s="104"/>
      <c r="C23" s="104"/>
      <c r="D23" s="104"/>
      <c r="E23" s="104"/>
      <c r="F23" s="104"/>
      <c r="G23" s="104"/>
      <c r="H23" s="115"/>
      <c r="I23" s="104"/>
      <c r="J23" s="104"/>
      <c r="K23" s="104"/>
      <c r="L23" s="104"/>
      <c r="M23" s="104"/>
      <c r="W23" s="66"/>
      <c r="X23" s="79"/>
      <c r="Y23" s="87"/>
      <c r="Z23" s="88">
        <f>ROUND(C18*$Q$10,4)</f>
        <v>0</v>
      </c>
      <c r="AA23" s="89"/>
    </row>
    <row r="24" spans="1:27" ht="20.25" x14ac:dyDescent="0.3">
      <c r="A24" s="161"/>
      <c r="B24" s="162"/>
      <c r="C24" s="163"/>
      <c r="D24" s="104"/>
      <c r="E24" s="116" t="s">
        <v>215</v>
      </c>
      <c r="F24" s="121"/>
      <c r="G24" s="104"/>
      <c r="H24" s="161"/>
      <c r="I24" s="162"/>
      <c r="J24" s="163"/>
      <c r="K24" s="104"/>
      <c r="L24" s="116" t="s">
        <v>215</v>
      </c>
      <c r="M24" s="121"/>
      <c r="W24" s="66"/>
      <c r="X24" s="79"/>
      <c r="Y24" s="90" t="s">
        <v>98</v>
      </c>
      <c r="Z24" s="91">
        <f>ROUND(C19*$Q$10,4)</f>
        <v>0</v>
      </c>
      <c r="AA24" s="92">
        <f>Z24</f>
        <v>0</v>
      </c>
    </row>
    <row r="25" spans="1:27" x14ac:dyDescent="0.2">
      <c r="A25" s="125"/>
      <c r="B25" s="124"/>
      <c r="C25" s="164"/>
      <c r="D25" s="104"/>
      <c r="E25" s="165"/>
      <c r="F25" s="126"/>
      <c r="G25" s="104"/>
      <c r="H25" s="125"/>
      <c r="I25" s="124"/>
      <c r="J25" s="164"/>
      <c r="K25" s="104"/>
      <c r="L25" s="165"/>
      <c r="M25" s="126"/>
      <c r="W25" s="66"/>
      <c r="X25" s="79"/>
      <c r="Y25" s="93" t="s">
        <v>99</v>
      </c>
      <c r="Z25" s="94">
        <f>ROUND(C20*$Q$10,4)</f>
        <v>0</v>
      </c>
      <c r="AA25" s="95">
        <f>Z25</f>
        <v>0</v>
      </c>
    </row>
    <row r="26" spans="1:27" ht="20.25" x14ac:dyDescent="0.3">
      <c r="A26" s="166" t="s">
        <v>216</v>
      </c>
      <c r="B26" s="124"/>
      <c r="C26" s="164"/>
      <c r="D26" s="104"/>
      <c r="E26" s="167" t="s">
        <v>223</v>
      </c>
      <c r="F26" s="130"/>
      <c r="G26" s="104"/>
      <c r="H26" s="166" t="s">
        <v>216</v>
      </c>
      <c r="I26" s="124"/>
      <c r="J26" s="164"/>
      <c r="K26" s="104"/>
      <c r="L26" s="167" t="s">
        <v>223</v>
      </c>
      <c r="M26" s="130"/>
      <c r="W26" s="66"/>
      <c r="X26" s="96"/>
      <c r="Y26" s="93" t="s">
        <v>199</v>
      </c>
      <c r="Z26" s="94">
        <f>O10</f>
        <v>0</v>
      </c>
      <c r="AA26" s="95">
        <f>Z26</f>
        <v>0</v>
      </c>
    </row>
    <row r="27" spans="1:27" ht="16.5" thickBot="1" x14ac:dyDescent="0.3">
      <c r="A27" s="166"/>
      <c r="B27" s="124"/>
      <c r="C27" s="164"/>
      <c r="D27" s="104"/>
      <c r="E27" s="168" t="s">
        <v>182</v>
      </c>
      <c r="F27" s="169" t="s">
        <v>211</v>
      </c>
      <c r="G27" s="104"/>
      <c r="H27" s="166"/>
      <c r="I27" s="124"/>
      <c r="J27" s="164"/>
      <c r="K27" s="104"/>
      <c r="L27" s="168" t="s">
        <v>182</v>
      </c>
      <c r="M27" s="169" t="s">
        <v>211</v>
      </c>
      <c r="W27" s="66"/>
      <c r="X27" s="97"/>
      <c r="Y27" s="98" t="s">
        <v>198</v>
      </c>
      <c r="Z27" s="99">
        <f>SUM(Z21:Z26)</f>
        <v>0</v>
      </c>
      <c r="AA27" s="100">
        <f>SUM(AA22:AA26)</f>
        <v>0</v>
      </c>
    </row>
    <row r="28" spans="1:27" ht="15.75" x14ac:dyDescent="0.25">
      <c r="A28" s="166" t="s">
        <v>217</v>
      </c>
      <c r="B28" s="124"/>
      <c r="C28" s="164"/>
      <c r="D28" s="104"/>
      <c r="E28" s="170"/>
      <c r="F28" s="171" t="s">
        <v>214</v>
      </c>
      <c r="G28" s="104"/>
      <c r="H28" s="166" t="s">
        <v>217</v>
      </c>
      <c r="I28" s="124"/>
      <c r="J28" s="164"/>
      <c r="K28" s="104"/>
      <c r="L28" s="170"/>
      <c r="M28" s="171" t="s">
        <v>214</v>
      </c>
      <c r="W28" s="66"/>
      <c r="X28" s="101"/>
      <c r="Y28" s="102" t="s">
        <v>205</v>
      </c>
      <c r="Z28" s="103" t="str">
        <f>IF(Z27=100%,"OK","erro")</f>
        <v>erro</v>
      </c>
      <c r="AA28" s="103" t="str">
        <f>IF(AA27=1,"OK","erro")</f>
        <v>erro</v>
      </c>
    </row>
    <row r="29" spans="1:27" ht="15.75" x14ac:dyDescent="0.25">
      <c r="A29" s="166" t="s">
        <v>218</v>
      </c>
      <c r="B29" s="124"/>
      <c r="C29" s="164"/>
      <c r="D29" s="104"/>
      <c r="E29" s="172"/>
      <c r="F29" s="143"/>
      <c r="G29" s="104"/>
      <c r="H29" s="166" t="s">
        <v>218</v>
      </c>
      <c r="I29" s="124"/>
      <c r="J29" s="164"/>
      <c r="K29" s="104"/>
      <c r="L29" s="172"/>
      <c r="M29" s="143"/>
      <c r="W29" s="66"/>
      <c r="X29" s="52"/>
    </row>
    <row r="30" spans="1:27" ht="15.75" x14ac:dyDescent="0.25">
      <c r="A30" s="166" t="s">
        <v>219</v>
      </c>
      <c r="B30" s="124"/>
      <c r="C30" s="164"/>
      <c r="D30" s="104"/>
      <c r="E30" s="173" t="s">
        <v>100</v>
      </c>
      <c r="F30" s="174">
        <f>ROUND($C$32*F17,4)</f>
        <v>0</v>
      </c>
      <c r="G30" s="104"/>
      <c r="H30" s="166" t="s">
        <v>219</v>
      </c>
      <c r="I30" s="124"/>
      <c r="J30" s="164"/>
      <c r="K30" s="104"/>
      <c r="L30" s="173" t="s">
        <v>100</v>
      </c>
      <c r="M30" s="174">
        <f>ROUND($J$32*M17,4)</f>
        <v>0</v>
      </c>
    </row>
    <row r="31" spans="1:27" x14ac:dyDescent="0.2">
      <c r="A31" s="125"/>
      <c r="B31" s="124"/>
      <c r="C31" s="164"/>
      <c r="D31" s="104"/>
      <c r="E31" s="175"/>
      <c r="F31" s="149"/>
      <c r="G31" s="104"/>
      <c r="H31" s="125"/>
      <c r="I31" s="124"/>
      <c r="J31" s="164"/>
      <c r="K31" s="104"/>
      <c r="L31" s="175"/>
      <c r="M31" s="149"/>
    </row>
    <row r="32" spans="1:27" ht="15.75" x14ac:dyDescent="0.25">
      <c r="A32" s="176" t="s">
        <v>220</v>
      </c>
      <c r="B32" s="177"/>
      <c r="C32" s="155">
        <f>100%-C13</f>
        <v>1</v>
      </c>
      <c r="D32" s="104"/>
      <c r="E32" s="178" t="s">
        <v>98</v>
      </c>
      <c r="F32" s="179">
        <f>ROUND($C$32*F19,4)</f>
        <v>0</v>
      </c>
      <c r="G32" s="104"/>
      <c r="H32" s="176" t="s">
        <v>220</v>
      </c>
      <c r="I32" s="177"/>
      <c r="J32" s="155">
        <f>100%-J13</f>
        <v>1</v>
      </c>
      <c r="K32" s="104"/>
      <c r="L32" s="178" t="s">
        <v>98</v>
      </c>
      <c r="M32" s="179">
        <f>ROUND($J$32*M19,4)</f>
        <v>0</v>
      </c>
    </row>
    <row r="33" spans="1:13" ht="15.75" x14ac:dyDescent="0.25">
      <c r="A33" s="115"/>
      <c r="B33" s="180"/>
      <c r="C33" s="181"/>
      <c r="D33" s="182">
        <f>SUM(D28:D32)</f>
        <v>0</v>
      </c>
      <c r="E33" s="183" t="s">
        <v>99</v>
      </c>
      <c r="F33" s="179">
        <f>ROUND($C$32*F20,4)</f>
        <v>0</v>
      </c>
      <c r="G33" s="104"/>
      <c r="H33" s="115"/>
      <c r="I33" s="180"/>
      <c r="J33" s="181"/>
      <c r="K33" s="182">
        <f>SUM(K28:K32)</f>
        <v>0</v>
      </c>
      <c r="L33" s="183" t="s">
        <v>99</v>
      </c>
      <c r="M33" s="179">
        <f>ROUND($J$32*M20,4)</f>
        <v>0</v>
      </c>
    </row>
    <row r="34" spans="1:13" ht="15.75" x14ac:dyDescent="0.25">
      <c r="A34" s="115"/>
      <c r="B34" s="180"/>
      <c r="C34" s="181"/>
      <c r="D34" s="184"/>
      <c r="E34" s="185" t="s">
        <v>221</v>
      </c>
      <c r="F34" s="179">
        <f>C13</f>
        <v>0</v>
      </c>
      <c r="G34" s="104"/>
      <c r="H34" s="115"/>
      <c r="I34" s="180"/>
      <c r="J34" s="181"/>
      <c r="K34" s="184"/>
      <c r="L34" s="185" t="s">
        <v>221</v>
      </c>
      <c r="M34" s="179">
        <f>J13</f>
        <v>0</v>
      </c>
    </row>
    <row r="35" spans="1:13" ht="15.75" x14ac:dyDescent="0.25">
      <c r="A35" s="115"/>
      <c r="B35" s="180"/>
      <c r="C35" s="181"/>
      <c r="D35" s="115"/>
      <c r="E35" s="185" t="s">
        <v>222</v>
      </c>
      <c r="F35" s="179">
        <f>SUM(F30:F34)</f>
        <v>0</v>
      </c>
      <c r="G35" s="104"/>
      <c r="H35" s="115"/>
      <c r="I35" s="180"/>
      <c r="J35" s="181"/>
      <c r="K35" s="115"/>
      <c r="L35" s="185" t="s">
        <v>222</v>
      </c>
      <c r="M35" s="179">
        <f>SUM(M30:M34)</f>
        <v>0</v>
      </c>
    </row>
    <row r="36" spans="1:13" ht="16.5" thickBot="1" x14ac:dyDescent="0.3">
      <c r="A36" s="115"/>
      <c r="B36" s="180"/>
      <c r="C36" s="181"/>
      <c r="D36" s="115"/>
      <c r="E36" s="186" t="s">
        <v>205</v>
      </c>
      <c r="F36" s="187" t="str">
        <f>IF(F35=0,"",IF(F35=100%,"OK","erro"))</f>
        <v/>
      </c>
      <c r="G36" s="104"/>
      <c r="H36" s="115"/>
      <c r="I36" s="180"/>
      <c r="J36" s="181"/>
      <c r="K36" s="115"/>
      <c r="L36" s="186" t="s">
        <v>205</v>
      </c>
      <c r="M36" s="187" t="str">
        <f>IF(M35=0,"",IF(M35=100%,"OK","erro"))</f>
        <v/>
      </c>
    </row>
    <row r="37" spans="1:13" x14ac:dyDescent="0.2">
      <c r="A37" s="104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</row>
    <row r="38" spans="1:13" x14ac:dyDescent="0.2">
      <c r="A38" s="104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</row>
    <row r="39" spans="1:13" ht="12" thickBot="1" x14ac:dyDescent="0.25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3" ht="15.75" x14ac:dyDescent="0.25">
      <c r="A40" s="105" t="s">
        <v>178</v>
      </c>
      <c r="B40" s="53"/>
      <c r="C40" s="53"/>
      <c r="D40" s="53"/>
      <c r="E40" s="53"/>
      <c r="F40" s="54"/>
      <c r="G40" s="104"/>
      <c r="H40" s="105" t="s">
        <v>178</v>
      </c>
      <c r="I40" s="53"/>
      <c r="J40" s="53"/>
      <c r="K40" s="53"/>
      <c r="L40" s="53"/>
      <c r="M40" s="54"/>
    </row>
    <row r="41" spans="1:13" ht="15.75" x14ac:dyDescent="0.25">
      <c r="A41" s="106" t="s">
        <v>179</v>
      </c>
      <c r="B41" s="55"/>
      <c r="C41" s="55"/>
      <c r="D41" s="55"/>
      <c r="E41" s="55"/>
      <c r="F41" s="56"/>
      <c r="G41" s="104"/>
      <c r="H41" s="106" t="s">
        <v>179</v>
      </c>
      <c r="I41" s="55"/>
      <c r="J41" s="55"/>
      <c r="K41" s="55"/>
      <c r="L41" s="55"/>
      <c r="M41" s="56"/>
    </row>
    <row r="42" spans="1:13" ht="16.5" thickBot="1" x14ac:dyDescent="0.3">
      <c r="A42" s="107" t="s">
        <v>180</v>
      </c>
      <c r="B42" s="57"/>
      <c r="C42" s="57"/>
      <c r="D42" s="57"/>
      <c r="E42" s="57"/>
      <c r="F42" s="58"/>
      <c r="G42" s="104"/>
      <c r="H42" s="107" t="s">
        <v>180</v>
      </c>
      <c r="I42" s="108"/>
      <c r="J42" s="108"/>
      <c r="K42" s="108"/>
      <c r="L42" s="108"/>
      <c r="M42" s="109"/>
    </row>
    <row r="43" spans="1:13" ht="12" thickBot="1" x14ac:dyDescent="0.25">
      <c r="A43" s="104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</row>
    <row r="44" spans="1:13" ht="20.25" x14ac:dyDescent="0.3">
      <c r="A44" s="110" t="s">
        <v>201</v>
      </c>
      <c r="B44" s="111" t="s">
        <v>207</v>
      </c>
      <c r="C44" s="59" t="s">
        <v>203</v>
      </c>
      <c r="D44" s="60"/>
      <c r="E44" s="60"/>
      <c r="F44" s="61"/>
      <c r="G44" s="104"/>
      <c r="H44" s="110" t="s">
        <v>225</v>
      </c>
      <c r="I44" s="111" t="s">
        <v>207</v>
      </c>
      <c r="J44" s="59" t="s">
        <v>203</v>
      </c>
      <c r="K44" s="60"/>
      <c r="L44" s="60"/>
      <c r="M44" s="61"/>
    </row>
    <row r="45" spans="1:13" ht="16.5" thickBot="1" x14ac:dyDescent="0.3">
      <c r="A45" s="112"/>
      <c r="B45" s="113" t="s">
        <v>183</v>
      </c>
      <c r="C45" s="62" t="s">
        <v>204</v>
      </c>
      <c r="D45" s="63"/>
      <c r="E45" s="63"/>
      <c r="F45" s="64"/>
      <c r="G45" s="104"/>
      <c r="H45" s="112"/>
      <c r="I45" s="113" t="s">
        <v>183</v>
      </c>
      <c r="J45" s="62" t="s">
        <v>204</v>
      </c>
      <c r="K45" s="63"/>
      <c r="L45" s="63"/>
      <c r="M45" s="64"/>
    </row>
    <row r="46" spans="1:13" ht="12" thickBot="1" x14ac:dyDescent="0.25">
      <c r="A46" s="114"/>
      <c r="B46" s="115"/>
      <c r="C46" s="115"/>
      <c r="D46" s="115"/>
      <c r="E46" s="115"/>
      <c r="F46" s="104"/>
      <c r="G46" s="104"/>
      <c r="H46" s="114"/>
      <c r="I46" s="115"/>
      <c r="J46" s="115"/>
      <c r="K46" s="115"/>
      <c r="L46" s="115"/>
      <c r="M46" s="104"/>
    </row>
    <row r="47" spans="1:13" ht="20.25" x14ac:dyDescent="0.3">
      <c r="A47" s="116" t="s">
        <v>206</v>
      </c>
      <c r="B47" s="117"/>
      <c r="C47" s="118"/>
      <c r="D47" s="119"/>
      <c r="E47" s="120" t="s">
        <v>212</v>
      </c>
      <c r="F47" s="121"/>
      <c r="G47" s="104"/>
      <c r="H47" s="116" t="s">
        <v>206</v>
      </c>
      <c r="I47" s="117"/>
      <c r="J47" s="118"/>
      <c r="K47" s="119"/>
      <c r="L47" s="120" t="s">
        <v>212</v>
      </c>
      <c r="M47" s="121"/>
    </row>
    <row r="48" spans="1:13" ht="15.75" x14ac:dyDescent="0.25">
      <c r="A48" s="122" t="s">
        <v>208</v>
      </c>
      <c r="B48" s="123"/>
      <c r="C48" s="67"/>
      <c r="D48" s="124"/>
      <c r="E48" s="125"/>
      <c r="F48" s="126"/>
      <c r="G48" s="104"/>
      <c r="H48" s="122" t="s">
        <v>208</v>
      </c>
      <c r="I48" s="123"/>
      <c r="J48" s="67"/>
      <c r="K48" s="124"/>
      <c r="L48" s="125"/>
      <c r="M48" s="126"/>
    </row>
    <row r="49" spans="1:13" ht="20.25" x14ac:dyDescent="0.3">
      <c r="A49" s="127" t="s">
        <v>209</v>
      </c>
      <c r="B49" s="128"/>
      <c r="C49" s="68"/>
      <c r="D49" s="124"/>
      <c r="E49" s="129" t="s">
        <v>224</v>
      </c>
      <c r="F49" s="130"/>
      <c r="G49" s="104"/>
      <c r="H49" s="127" t="s">
        <v>209</v>
      </c>
      <c r="I49" s="128"/>
      <c r="J49" s="68"/>
      <c r="K49" s="124"/>
      <c r="L49" s="129" t="s">
        <v>213</v>
      </c>
      <c r="M49" s="130"/>
    </row>
    <row r="50" spans="1:13" ht="15.75" x14ac:dyDescent="0.25">
      <c r="A50" s="131" t="s">
        <v>181</v>
      </c>
      <c r="B50" s="132"/>
      <c r="C50" s="133"/>
      <c r="D50" s="124"/>
      <c r="E50" s="134" t="s">
        <v>182</v>
      </c>
      <c r="F50" s="135" t="s">
        <v>211</v>
      </c>
      <c r="G50" s="104"/>
      <c r="H50" s="131" t="s">
        <v>181</v>
      </c>
      <c r="I50" s="132"/>
      <c r="J50" s="133"/>
      <c r="K50" s="124"/>
      <c r="L50" s="134" t="s">
        <v>182</v>
      </c>
      <c r="M50" s="135" t="s">
        <v>211</v>
      </c>
    </row>
    <row r="51" spans="1:13" ht="15" x14ac:dyDescent="0.2">
      <c r="A51" s="136" t="s">
        <v>182</v>
      </c>
      <c r="B51" s="137" t="s">
        <v>210</v>
      </c>
      <c r="C51" s="138"/>
      <c r="D51" s="124"/>
      <c r="E51" s="139"/>
      <c r="F51" s="140" t="s">
        <v>214</v>
      </c>
      <c r="G51" s="104"/>
      <c r="H51" s="136" t="s">
        <v>182</v>
      </c>
      <c r="I51" s="137" t="s">
        <v>210</v>
      </c>
      <c r="J51" s="138"/>
      <c r="K51" s="124"/>
      <c r="L51" s="139"/>
      <c r="M51" s="140" t="s">
        <v>214</v>
      </c>
    </row>
    <row r="52" spans="1:13" ht="15.75" x14ac:dyDescent="0.25">
      <c r="A52" s="141" t="s">
        <v>184</v>
      </c>
      <c r="B52" s="69" t="s">
        <v>188</v>
      </c>
      <c r="C52" s="70"/>
      <c r="D52" s="124"/>
      <c r="E52" s="142"/>
      <c r="F52" s="143"/>
      <c r="G52" s="104"/>
      <c r="H52" s="141" t="s">
        <v>184</v>
      </c>
      <c r="I52" s="69" t="s">
        <v>188</v>
      </c>
      <c r="J52" s="70"/>
      <c r="K52" s="124"/>
      <c r="L52" s="142"/>
      <c r="M52" s="143"/>
    </row>
    <row r="53" spans="1:13" ht="15.75" x14ac:dyDescent="0.25">
      <c r="A53" s="144" t="s">
        <v>185</v>
      </c>
      <c r="B53" s="71" t="s">
        <v>189</v>
      </c>
      <c r="C53" s="72"/>
      <c r="D53" s="124"/>
      <c r="E53" s="145" t="s">
        <v>100</v>
      </c>
      <c r="F53" s="146">
        <f>SUM(C52:C54)</f>
        <v>0</v>
      </c>
      <c r="G53" s="104"/>
      <c r="H53" s="144" t="s">
        <v>185</v>
      </c>
      <c r="I53" s="71" t="s">
        <v>189</v>
      </c>
      <c r="J53" s="72"/>
      <c r="K53" s="124"/>
      <c r="L53" s="145" t="s">
        <v>100</v>
      </c>
      <c r="M53" s="146">
        <f>SUM(J52:J54)</f>
        <v>0</v>
      </c>
    </row>
    <row r="54" spans="1:13" ht="15.75" x14ac:dyDescent="0.25">
      <c r="A54" s="147" t="s">
        <v>186</v>
      </c>
      <c r="B54" s="73" t="s">
        <v>190</v>
      </c>
      <c r="C54" s="74"/>
      <c r="D54" s="124"/>
      <c r="E54" s="148"/>
      <c r="F54" s="149"/>
      <c r="G54" s="104"/>
      <c r="H54" s="147" t="s">
        <v>186</v>
      </c>
      <c r="I54" s="73" t="s">
        <v>190</v>
      </c>
      <c r="J54" s="74"/>
      <c r="K54" s="124"/>
      <c r="L54" s="148"/>
      <c r="M54" s="149"/>
    </row>
    <row r="55" spans="1:13" ht="15.75" x14ac:dyDescent="0.25">
      <c r="A55" s="150" t="s">
        <v>98</v>
      </c>
      <c r="B55" s="77" t="s">
        <v>98</v>
      </c>
      <c r="C55" s="78"/>
      <c r="D55" s="124"/>
      <c r="E55" s="151" t="s">
        <v>98</v>
      </c>
      <c r="F55" s="152">
        <f>C55</f>
        <v>0</v>
      </c>
      <c r="G55" s="104"/>
      <c r="H55" s="150" t="s">
        <v>98</v>
      </c>
      <c r="I55" s="77" t="s">
        <v>98</v>
      </c>
      <c r="J55" s="78"/>
      <c r="K55" s="124"/>
      <c r="L55" s="151" t="s">
        <v>98</v>
      </c>
      <c r="M55" s="152">
        <f>J55</f>
        <v>0</v>
      </c>
    </row>
    <row r="56" spans="1:13" ht="15.75" x14ac:dyDescent="0.25">
      <c r="A56" s="150" t="s">
        <v>191</v>
      </c>
      <c r="B56" s="77" t="s">
        <v>99</v>
      </c>
      <c r="C56" s="78"/>
      <c r="D56" s="124"/>
      <c r="E56" s="153" t="s">
        <v>99</v>
      </c>
      <c r="F56" s="152">
        <f>C56</f>
        <v>0</v>
      </c>
      <c r="G56" s="104"/>
      <c r="H56" s="150" t="s">
        <v>191</v>
      </c>
      <c r="I56" s="77" t="s">
        <v>99</v>
      </c>
      <c r="J56" s="78"/>
      <c r="K56" s="124"/>
      <c r="L56" s="153" t="s">
        <v>99</v>
      </c>
      <c r="M56" s="152">
        <f>J56</f>
        <v>0</v>
      </c>
    </row>
    <row r="57" spans="1:13" ht="15.75" x14ac:dyDescent="0.25">
      <c r="A57" s="154"/>
      <c r="B57" s="151" t="s">
        <v>193</v>
      </c>
      <c r="C57" s="155">
        <f>SUM(C52:C56)</f>
        <v>0</v>
      </c>
      <c r="D57" s="124"/>
      <c r="E57" s="151" t="s">
        <v>193</v>
      </c>
      <c r="F57" s="156">
        <f>SUM(F53:F56)</f>
        <v>0</v>
      </c>
      <c r="G57" s="104"/>
      <c r="H57" s="154"/>
      <c r="I57" s="151" t="s">
        <v>193</v>
      </c>
      <c r="J57" s="155">
        <f>SUM(J52:J56)</f>
        <v>0</v>
      </c>
      <c r="K57" s="124"/>
      <c r="L57" s="151" t="s">
        <v>193</v>
      </c>
      <c r="M57" s="156">
        <f>SUM(M53:M56)</f>
        <v>0</v>
      </c>
    </row>
    <row r="58" spans="1:13" ht="16.5" thickBot="1" x14ac:dyDescent="0.3">
      <c r="A58" s="157"/>
      <c r="B58" s="158" t="s">
        <v>205</v>
      </c>
      <c r="C58" s="159" t="str">
        <f>IF(C57=0,"",IF(C57=100%,"OK","erro"))</f>
        <v/>
      </c>
      <c r="D58" s="160"/>
      <c r="E58" s="158" t="s">
        <v>205</v>
      </c>
      <c r="F58" s="159" t="str">
        <f>IF(F57=0,"",IF(F57=100%,"OK","erro"))</f>
        <v/>
      </c>
      <c r="G58" s="104"/>
      <c r="H58" s="157"/>
      <c r="I58" s="158" t="s">
        <v>205</v>
      </c>
      <c r="J58" s="159" t="str">
        <f>IF(J57=100%,"OK","erro")</f>
        <v>erro</v>
      </c>
      <c r="K58" s="160"/>
      <c r="L58" s="158" t="s">
        <v>205</v>
      </c>
      <c r="M58" s="159" t="str">
        <f>IF(M57=0,"",IF(M57=100%,"OK","erro"))</f>
        <v/>
      </c>
    </row>
    <row r="59" spans="1:13" ht="12" thickBot="1" x14ac:dyDescent="0.25">
      <c r="A59" s="115"/>
      <c r="B59" s="104"/>
      <c r="C59" s="104"/>
      <c r="D59" s="104"/>
      <c r="E59" s="104"/>
      <c r="F59" s="104"/>
      <c r="G59" s="104"/>
      <c r="H59" s="115"/>
      <c r="I59" s="104"/>
      <c r="J59" s="104"/>
      <c r="K59" s="104"/>
      <c r="L59" s="104"/>
      <c r="M59" s="104"/>
    </row>
    <row r="60" spans="1:13" ht="20.25" x14ac:dyDescent="0.3">
      <c r="A60" s="161"/>
      <c r="B60" s="162"/>
      <c r="C60" s="163"/>
      <c r="D60" s="104"/>
      <c r="E60" s="116" t="s">
        <v>215</v>
      </c>
      <c r="F60" s="121"/>
      <c r="G60" s="104"/>
      <c r="H60" s="161"/>
      <c r="I60" s="162"/>
      <c r="J60" s="163"/>
      <c r="K60" s="104"/>
      <c r="L60" s="116" t="s">
        <v>215</v>
      </c>
      <c r="M60" s="121"/>
    </row>
    <row r="61" spans="1:13" x14ac:dyDescent="0.2">
      <c r="A61" s="125"/>
      <c r="B61" s="124"/>
      <c r="C61" s="164"/>
      <c r="D61" s="104"/>
      <c r="E61" s="165"/>
      <c r="F61" s="126"/>
      <c r="G61" s="104"/>
      <c r="H61" s="125"/>
      <c r="I61" s="124"/>
      <c r="J61" s="164"/>
      <c r="K61" s="104"/>
      <c r="L61" s="165"/>
      <c r="M61" s="126"/>
    </row>
    <row r="62" spans="1:13" ht="20.25" x14ac:dyDescent="0.3">
      <c r="A62" s="166" t="s">
        <v>216</v>
      </c>
      <c r="B62" s="124"/>
      <c r="C62" s="164"/>
      <c r="D62" s="104"/>
      <c r="E62" s="167" t="s">
        <v>223</v>
      </c>
      <c r="F62" s="130"/>
      <c r="G62" s="104"/>
      <c r="H62" s="166" t="s">
        <v>216</v>
      </c>
      <c r="I62" s="124"/>
      <c r="J62" s="164"/>
      <c r="K62" s="104"/>
      <c r="L62" s="167" t="s">
        <v>223</v>
      </c>
      <c r="M62" s="130"/>
    </row>
    <row r="63" spans="1:13" ht="15.75" x14ac:dyDescent="0.25">
      <c r="A63" s="166"/>
      <c r="B63" s="124"/>
      <c r="C63" s="164"/>
      <c r="D63" s="104"/>
      <c r="E63" s="168" t="s">
        <v>182</v>
      </c>
      <c r="F63" s="169" t="s">
        <v>211</v>
      </c>
      <c r="G63" s="104"/>
      <c r="H63" s="166"/>
      <c r="I63" s="124"/>
      <c r="J63" s="164"/>
      <c r="K63" s="104"/>
      <c r="L63" s="168" t="s">
        <v>182</v>
      </c>
      <c r="M63" s="169" t="s">
        <v>211</v>
      </c>
    </row>
    <row r="64" spans="1:13" ht="15.75" x14ac:dyDescent="0.25">
      <c r="A64" s="166" t="s">
        <v>217</v>
      </c>
      <c r="B64" s="124"/>
      <c r="C64" s="164"/>
      <c r="D64" s="104"/>
      <c r="E64" s="170"/>
      <c r="F64" s="171" t="s">
        <v>214</v>
      </c>
      <c r="G64" s="104"/>
      <c r="H64" s="166" t="s">
        <v>217</v>
      </c>
      <c r="I64" s="124"/>
      <c r="J64" s="164"/>
      <c r="K64" s="104"/>
      <c r="L64" s="170"/>
      <c r="M64" s="171" t="s">
        <v>214</v>
      </c>
    </row>
    <row r="65" spans="1:13" ht="15.75" x14ac:dyDescent="0.25">
      <c r="A65" s="166" t="s">
        <v>218</v>
      </c>
      <c r="B65" s="124"/>
      <c r="C65" s="164"/>
      <c r="D65" s="104"/>
      <c r="E65" s="172"/>
      <c r="F65" s="143"/>
      <c r="G65" s="104"/>
      <c r="H65" s="166" t="s">
        <v>218</v>
      </c>
      <c r="I65" s="124"/>
      <c r="J65" s="164"/>
      <c r="K65" s="104"/>
      <c r="L65" s="172"/>
      <c r="M65" s="143"/>
    </row>
    <row r="66" spans="1:13" ht="15.75" x14ac:dyDescent="0.25">
      <c r="A66" s="166" t="s">
        <v>219</v>
      </c>
      <c r="B66" s="124"/>
      <c r="C66" s="164"/>
      <c r="D66" s="104"/>
      <c r="E66" s="173" t="s">
        <v>100</v>
      </c>
      <c r="F66" s="174">
        <f>ROUND($C$32*F53,4)</f>
        <v>0</v>
      </c>
      <c r="G66" s="104"/>
      <c r="H66" s="166" t="s">
        <v>219</v>
      </c>
      <c r="I66" s="124"/>
      <c r="J66" s="164"/>
      <c r="K66" s="104"/>
      <c r="L66" s="173" t="s">
        <v>100</v>
      </c>
      <c r="M66" s="174">
        <f>ROUND($J$32*M53,4)</f>
        <v>0</v>
      </c>
    </row>
    <row r="67" spans="1:13" x14ac:dyDescent="0.2">
      <c r="A67" s="125"/>
      <c r="B67" s="124"/>
      <c r="C67" s="164"/>
      <c r="D67" s="104"/>
      <c r="E67" s="175"/>
      <c r="F67" s="149"/>
      <c r="G67" s="104"/>
      <c r="H67" s="125"/>
      <c r="I67" s="124"/>
      <c r="J67" s="164"/>
      <c r="K67" s="104"/>
      <c r="L67" s="175"/>
      <c r="M67" s="149"/>
    </row>
    <row r="68" spans="1:13" ht="15.75" x14ac:dyDescent="0.25">
      <c r="A68" s="176" t="s">
        <v>220</v>
      </c>
      <c r="B68" s="177"/>
      <c r="C68" s="155">
        <f>100%-C49</f>
        <v>1</v>
      </c>
      <c r="D68" s="104"/>
      <c r="E68" s="178" t="s">
        <v>98</v>
      </c>
      <c r="F68" s="179">
        <f>ROUND($C$32*F55,4)</f>
        <v>0</v>
      </c>
      <c r="G68" s="104"/>
      <c r="H68" s="176" t="s">
        <v>220</v>
      </c>
      <c r="I68" s="177"/>
      <c r="J68" s="155">
        <f>100%-J49</f>
        <v>1</v>
      </c>
      <c r="K68" s="104"/>
      <c r="L68" s="178" t="s">
        <v>98</v>
      </c>
      <c r="M68" s="179">
        <f>ROUND($J$32*M55,4)</f>
        <v>0</v>
      </c>
    </row>
    <row r="69" spans="1:13" ht="15.75" x14ac:dyDescent="0.25">
      <c r="A69" s="115"/>
      <c r="B69" s="180"/>
      <c r="C69" s="181"/>
      <c r="D69" s="182">
        <f>SUM(D64:D68)</f>
        <v>0</v>
      </c>
      <c r="E69" s="183" t="s">
        <v>99</v>
      </c>
      <c r="F69" s="179">
        <f>ROUND($C$32*F56,4)</f>
        <v>0</v>
      </c>
      <c r="G69" s="104"/>
      <c r="H69" s="115"/>
      <c r="I69" s="180"/>
      <c r="J69" s="181"/>
      <c r="K69" s="182">
        <f>SUM(K64:K68)</f>
        <v>0</v>
      </c>
      <c r="L69" s="183" t="s">
        <v>99</v>
      </c>
      <c r="M69" s="179">
        <f>ROUND($J$32*M56,4)</f>
        <v>0</v>
      </c>
    </row>
    <row r="70" spans="1:13" ht="15.75" x14ac:dyDescent="0.25">
      <c r="A70" s="115"/>
      <c r="B70" s="180"/>
      <c r="C70" s="181"/>
      <c r="D70" s="184"/>
      <c r="E70" s="185" t="s">
        <v>221</v>
      </c>
      <c r="F70" s="179">
        <f>C49</f>
        <v>0</v>
      </c>
      <c r="G70" s="104"/>
      <c r="H70" s="115"/>
      <c r="I70" s="180"/>
      <c r="J70" s="181"/>
      <c r="K70" s="184"/>
      <c r="L70" s="185" t="s">
        <v>221</v>
      </c>
      <c r="M70" s="179">
        <f>J49</f>
        <v>0</v>
      </c>
    </row>
    <row r="71" spans="1:13" ht="15.75" x14ac:dyDescent="0.25">
      <c r="A71" s="115"/>
      <c r="B71" s="180"/>
      <c r="C71" s="181"/>
      <c r="D71" s="115"/>
      <c r="E71" s="185" t="s">
        <v>222</v>
      </c>
      <c r="F71" s="179">
        <f>SUM(F66:F70)</f>
        <v>0</v>
      </c>
      <c r="G71" s="104"/>
      <c r="H71" s="115"/>
      <c r="I71" s="180"/>
      <c r="J71" s="181"/>
      <c r="K71" s="115"/>
      <c r="L71" s="185" t="s">
        <v>222</v>
      </c>
      <c r="M71" s="179">
        <f>SUM(M66:M70)</f>
        <v>0</v>
      </c>
    </row>
    <row r="72" spans="1:13" ht="16.5" thickBot="1" x14ac:dyDescent="0.3">
      <c r="A72" s="115"/>
      <c r="B72" s="180"/>
      <c r="C72" s="181"/>
      <c r="D72" s="115"/>
      <c r="E72" s="186" t="s">
        <v>205</v>
      </c>
      <c r="F72" s="187" t="str">
        <f>IF(F71=0,"",IF(F71=100%,"OK","erro"))</f>
        <v/>
      </c>
      <c r="G72" s="104"/>
      <c r="H72" s="115"/>
      <c r="I72" s="180"/>
      <c r="J72" s="181"/>
      <c r="K72" s="115"/>
      <c r="L72" s="186" t="s">
        <v>205</v>
      </c>
      <c r="M72" s="187" t="str">
        <f>IF(M71=0,"",IF(M71=100%,"OK","erro"))</f>
        <v/>
      </c>
    </row>
  </sheetData>
  <sheetProtection sheet="1" objects="1" scenarios="1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LIGANTES</vt:lpstr>
      <vt:lpstr>base</vt:lpstr>
      <vt:lpstr>base (2)</vt:lpstr>
      <vt:lpstr>ENSAIOS DE ORÇAMENTO</vt:lpstr>
      <vt:lpstr>planilha de serviços</vt:lpstr>
      <vt:lpstr>Novos Traços</vt:lpstr>
      <vt:lpstr>base!Area_de_impressao</vt:lpstr>
      <vt:lpstr>'base (2)'!Area_de_impressao</vt:lpstr>
      <vt:lpstr>'planilha de serviços'!Area_de_impressao</vt:lpstr>
      <vt:lpstr>'planilha de serviços'!Titulos_de_impressao</vt:lpstr>
    </vt:vector>
  </TitlesOfParts>
  <Company>PARANACIDADE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Ruy  José da Costa</dc:creator>
  <cp:lastModifiedBy>Osmar José Ribeiro</cp:lastModifiedBy>
  <cp:lastPrinted>2022-02-24T12:25:04Z</cp:lastPrinted>
  <dcterms:created xsi:type="dcterms:W3CDTF">2008-09-16T14:08:54Z</dcterms:created>
  <dcterms:modified xsi:type="dcterms:W3CDTF">2022-02-24T12:29:42Z</dcterms:modified>
</cp:coreProperties>
</file>